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Working\Papers\coronavirus\vaccine effectiveness\"/>
    </mc:Choice>
  </mc:AlternateContent>
  <xr:revisionPtr revIDLastSave="0" documentId="8_{DCFF061C-EF0C-4488-ACB8-2D9DA7EF211D}" xr6:coauthVersionLast="47" xr6:coauthVersionMax="47" xr10:uidLastSave="{00000000-0000-0000-0000-000000000000}"/>
  <bookViews>
    <workbookView xWindow="3040" yWindow="2790" windowWidth="33010" windowHeight="18810" tabRatio="846" firstSheet="8" activeTab="14" xr2:uid="{00000000-000D-0000-FFFF-FFFF00000000}"/>
  </bookViews>
  <sheets>
    <sheet name="All Cause ASMR Mortality Charts" sheetId="22" r:id="rId1"/>
    <sheet name="All Cause Raw Mortality Charts" sheetId="24" r:id="rId2"/>
    <sheet name="Population vaccinated" sheetId="35" r:id="rId3"/>
    <sheet name="Death counts" sheetId="34" r:id="rId4"/>
    <sheet name="Mortality" sheetId="36" r:id="rId5"/>
    <sheet name="Aggregated ONS Table 4 and 5" sheetId="23" r:id="rId6"/>
    <sheet name="All Cause Joint Table" sheetId="21" r:id="rId7"/>
    <sheet name="ONS Table 4" sheetId="14" r:id="rId8"/>
    <sheet name="ONS Table 5" sheetId="15" r:id="rId9"/>
    <sheet name="ONS Week 26 deaths" sheetId="37" r:id="rId10"/>
    <sheet name="NIMS Week 26 vaccines" sheetId="38" r:id="rId11"/>
    <sheet name="ONS Week 26 vaccinated query" sheetId="39" r:id="rId12"/>
    <sheet name="ONS Life Tables 2017-19" sheetId="32" r:id="rId13"/>
    <sheet name="ONS Population Estimates 2021" sheetId="40" r:id="rId14"/>
    <sheet name="ONS Mortality Week 26 2017-2021" sheetId="41" r:id="rId15"/>
  </sheets>
  <externalReferences>
    <externalReference r:id="rId16"/>
  </externalReferences>
  <definedNames>
    <definedName name="_Order1" hidden="1">255</definedName>
    <definedName name="_Order2" hidden="1">255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41" l="1"/>
  <c r="H30" i="41"/>
  <c r="I30" i="41"/>
  <c r="J30" i="41"/>
  <c r="C25" i="41"/>
  <c r="J29" i="41"/>
  <c r="I29" i="41"/>
  <c r="H29" i="41"/>
  <c r="G29" i="41"/>
  <c r="F29" i="41"/>
  <c r="E29" i="41"/>
  <c r="D29" i="41"/>
  <c r="C29" i="41"/>
  <c r="P28" i="41"/>
  <c r="D30" i="41" s="1"/>
  <c r="D28" i="41"/>
  <c r="E28" i="41"/>
  <c r="F28" i="41"/>
  <c r="G28" i="41"/>
  <c r="H28" i="41"/>
  <c r="I28" i="41"/>
  <c r="J28" i="41"/>
  <c r="C28" i="41"/>
  <c r="D25" i="41"/>
  <c r="E25" i="41"/>
  <c r="F25" i="41"/>
  <c r="G25" i="41"/>
  <c r="H25" i="41"/>
  <c r="I25" i="41"/>
  <c r="J25" i="41"/>
  <c r="K25" i="41"/>
  <c r="L25" i="41"/>
  <c r="M25" i="41"/>
  <c r="N25" i="41"/>
  <c r="D24" i="41"/>
  <c r="E24" i="41"/>
  <c r="F24" i="41"/>
  <c r="G24" i="41"/>
  <c r="H24" i="41"/>
  <c r="I24" i="41"/>
  <c r="J24" i="41"/>
  <c r="K24" i="41"/>
  <c r="L24" i="41"/>
  <c r="M24" i="41"/>
  <c r="N24" i="41"/>
  <c r="C24" i="41"/>
  <c r="P23" i="41"/>
  <c r="D23" i="41"/>
  <c r="E23" i="41"/>
  <c r="F23" i="41"/>
  <c r="G23" i="41"/>
  <c r="H23" i="41"/>
  <c r="I23" i="41"/>
  <c r="J23" i="41"/>
  <c r="K23" i="41"/>
  <c r="L23" i="41"/>
  <c r="M23" i="41"/>
  <c r="N23" i="41"/>
  <c r="C23" i="41"/>
  <c r="P17" i="41"/>
  <c r="P18" i="41"/>
  <c r="P19" i="41"/>
  <c r="P20" i="41"/>
  <c r="P16" i="41"/>
  <c r="D16" i="41"/>
  <c r="E16" i="41"/>
  <c r="F16" i="41"/>
  <c r="G16" i="41"/>
  <c r="H16" i="41"/>
  <c r="I16" i="41"/>
  <c r="J16" i="41"/>
  <c r="K16" i="41"/>
  <c r="L16" i="41"/>
  <c r="M16" i="41"/>
  <c r="N16" i="41"/>
  <c r="D17" i="41"/>
  <c r="E17" i="41"/>
  <c r="F17" i="41"/>
  <c r="G17" i="41"/>
  <c r="H17" i="41"/>
  <c r="I17" i="41"/>
  <c r="J17" i="41"/>
  <c r="K17" i="41"/>
  <c r="L17" i="41"/>
  <c r="M17" i="41"/>
  <c r="N17" i="41"/>
  <c r="D18" i="41"/>
  <c r="E18" i="41"/>
  <c r="F18" i="41"/>
  <c r="G18" i="41"/>
  <c r="H18" i="41"/>
  <c r="I18" i="41"/>
  <c r="J18" i="41"/>
  <c r="K18" i="41"/>
  <c r="L18" i="41"/>
  <c r="M18" i="41"/>
  <c r="N18" i="41"/>
  <c r="D19" i="41"/>
  <c r="E19" i="41"/>
  <c r="F19" i="41"/>
  <c r="G19" i="41"/>
  <c r="H19" i="41"/>
  <c r="I19" i="41"/>
  <c r="J19" i="41"/>
  <c r="K19" i="41"/>
  <c r="L19" i="41"/>
  <c r="M19" i="41"/>
  <c r="N19" i="41"/>
  <c r="D20" i="41"/>
  <c r="E20" i="41"/>
  <c r="F20" i="41"/>
  <c r="G20" i="41"/>
  <c r="H20" i="41"/>
  <c r="I20" i="41"/>
  <c r="J20" i="41"/>
  <c r="C20" i="41"/>
  <c r="C19" i="41"/>
  <c r="C18" i="41"/>
  <c r="C17" i="41"/>
  <c r="C16" i="41"/>
  <c r="R4" i="36"/>
  <c r="R5" i="36"/>
  <c r="R6" i="36"/>
  <c r="R7" i="36"/>
  <c r="R8" i="36"/>
  <c r="R9" i="36"/>
  <c r="R10" i="36"/>
  <c r="R11" i="36"/>
  <c r="R12" i="36"/>
  <c r="R13" i="36"/>
  <c r="R14" i="36"/>
  <c r="R15" i="36"/>
  <c r="R16" i="36"/>
  <c r="R3" i="36"/>
  <c r="M23" i="35"/>
  <c r="M23" i="34"/>
  <c r="G4" i="35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3" i="35"/>
  <c r="M15" i="34"/>
  <c r="E16" i="34"/>
  <c r="E15" i="34"/>
  <c r="E14" i="34"/>
  <c r="E13" i="34"/>
  <c r="E12" i="34"/>
  <c r="E11" i="34"/>
  <c r="E10" i="34"/>
  <c r="E9" i="34"/>
  <c r="E8" i="34"/>
  <c r="E7" i="34"/>
  <c r="E6" i="34"/>
  <c r="E5" i="34"/>
  <c r="E4" i="34"/>
  <c r="E3" i="34"/>
  <c r="M16" i="34"/>
  <c r="C30" i="41" l="1"/>
  <c r="G30" i="41"/>
  <c r="F30" i="41"/>
  <c r="E30" i="41"/>
  <c r="H15" i="35"/>
  <c r="D54" i="38"/>
  <c r="E54" i="38"/>
  <c r="E70" i="38" s="1"/>
  <c r="F54" i="38"/>
  <c r="D55" i="38"/>
  <c r="E55" i="38"/>
  <c r="F55" i="38"/>
  <c r="F70" i="38" s="1"/>
  <c r="C54" i="38"/>
  <c r="C55" i="38"/>
  <c r="I55" i="38" s="1"/>
  <c r="G55" i="38"/>
  <c r="J55" i="38" s="1"/>
  <c r="D35" i="38"/>
  <c r="B60" i="38"/>
  <c r="B54" i="38"/>
  <c r="B55" i="38"/>
  <c r="B56" i="38"/>
  <c r="B57" i="38"/>
  <c r="B58" i="38"/>
  <c r="B59" i="38"/>
  <c r="B61" i="38"/>
  <c r="B62" i="38"/>
  <c r="B63" i="38"/>
  <c r="B64" i="38"/>
  <c r="B65" i="38"/>
  <c r="B66" i="38"/>
  <c r="B67" i="38"/>
  <c r="B68" i="38"/>
  <c r="C35" i="38"/>
  <c r="G54" i="38" l="1"/>
  <c r="J54" i="38" s="1"/>
  <c r="H54" i="38"/>
  <c r="I54" i="38"/>
  <c r="H55" i="38"/>
  <c r="C70" i="38"/>
  <c r="H3" i="35"/>
  <c r="G70" i="38" l="1"/>
  <c r="AB3" i="23"/>
  <c r="Y3" i="23"/>
  <c r="C29" i="23"/>
  <c r="B29" i="23"/>
  <c r="H16" i="35"/>
  <c r="C3" i="35"/>
  <c r="G3" i="36" s="1"/>
  <c r="C4" i="35"/>
  <c r="G4" i="36" s="1"/>
  <c r="C5" i="35"/>
  <c r="G5" i="36" s="1"/>
  <c r="C6" i="35"/>
  <c r="G6" i="36" s="1"/>
  <c r="C7" i="35"/>
  <c r="G7" i="36" s="1"/>
  <c r="C8" i="35"/>
  <c r="G8" i="36" s="1"/>
  <c r="C9" i="35"/>
  <c r="G9" i="36" s="1"/>
  <c r="C10" i="35"/>
  <c r="G10" i="36" s="1"/>
  <c r="C11" i="35"/>
  <c r="G11" i="36" s="1"/>
  <c r="C12" i="35"/>
  <c r="G12" i="36" s="1"/>
  <c r="C13" i="35"/>
  <c r="G13" i="36" s="1"/>
  <c r="C14" i="35"/>
  <c r="G14" i="36" s="1"/>
  <c r="C15" i="35"/>
  <c r="G15" i="36" s="1"/>
  <c r="C16" i="35"/>
  <c r="G16" i="36" s="1"/>
  <c r="C17" i="35"/>
  <c r="B24" i="40"/>
  <c r="Z18" i="36"/>
  <c r="H4" i="35"/>
  <c r="D48" i="38"/>
  <c r="D36" i="38"/>
  <c r="D37" i="38"/>
  <c r="D57" i="38" s="1"/>
  <c r="D38" i="38"/>
  <c r="D39" i="38"/>
  <c r="D40" i="38"/>
  <c r="D60" i="38" s="1"/>
  <c r="D41" i="38"/>
  <c r="D61" i="38" s="1"/>
  <c r="D42" i="38"/>
  <c r="D62" i="38" s="1"/>
  <c r="D43" i="38"/>
  <c r="D44" i="38"/>
  <c r="D45" i="38"/>
  <c r="D65" i="38" s="1"/>
  <c r="D46" i="38"/>
  <c r="D47" i="38"/>
  <c r="F48" i="38"/>
  <c r="F68" i="38" s="1"/>
  <c r="G32" i="39"/>
  <c r="D31" i="39"/>
  <c r="C31" i="39" s="1"/>
  <c r="D44" i="39"/>
  <c r="D32" i="39"/>
  <c r="C32" i="39" s="1"/>
  <c r="D33" i="39"/>
  <c r="D34" i="39"/>
  <c r="D35" i="39"/>
  <c r="D36" i="39"/>
  <c r="D37" i="39"/>
  <c r="D38" i="39"/>
  <c r="C38" i="39" s="1"/>
  <c r="D39" i="39"/>
  <c r="D40" i="39"/>
  <c r="D41" i="39"/>
  <c r="D42" i="39"/>
  <c r="D43" i="39"/>
  <c r="K31" i="39"/>
  <c r="K32" i="39"/>
  <c r="B31" i="39"/>
  <c r="E31" i="39" s="1"/>
  <c r="C36" i="38"/>
  <c r="C56" i="38" s="1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D16" i="36"/>
  <c r="H17" i="35"/>
  <c r="H14" i="35"/>
  <c r="P14" i="35" s="1"/>
  <c r="H13" i="35"/>
  <c r="P13" i="35" s="1"/>
  <c r="H12" i="35"/>
  <c r="P12" i="35" s="1"/>
  <c r="H11" i="35"/>
  <c r="P11" i="35" s="1"/>
  <c r="H10" i="35"/>
  <c r="P10" i="35" s="1"/>
  <c r="H9" i="35"/>
  <c r="H8" i="35"/>
  <c r="P8" i="35" s="1"/>
  <c r="H7" i="35"/>
  <c r="P7" i="35" s="1"/>
  <c r="H6" i="35"/>
  <c r="P6" i="35" s="1"/>
  <c r="H5" i="35"/>
  <c r="P5" i="35" s="1"/>
  <c r="D15" i="36"/>
  <c r="D4" i="36"/>
  <c r="D3" i="36"/>
  <c r="L16" i="35"/>
  <c r="L15" i="35"/>
  <c r="F43" i="38"/>
  <c r="C43" i="38"/>
  <c r="C63" i="38" s="1"/>
  <c r="F35" i="38"/>
  <c r="F36" i="38"/>
  <c r="F56" i="38" s="1"/>
  <c r="F37" i="38"/>
  <c r="F57" i="38" s="1"/>
  <c r="C37" i="38"/>
  <c r="K33" i="39" s="1"/>
  <c r="F38" i="38"/>
  <c r="F58" i="38" s="1"/>
  <c r="C38" i="38"/>
  <c r="F39" i="38"/>
  <c r="C39" i="38"/>
  <c r="L12" i="35" s="1"/>
  <c r="F40" i="38"/>
  <c r="F60" i="38" s="1"/>
  <c r="C40" i="38"/>
  <c r="F41" i="38"/>
  <c r="F61" i="38" s="1"/>
  <c r="C41" i="38"/>
  <c r="F42" i="38"/>
  <c r="F62" i="38" s="1"/>
  <c r="C42" i="38"/>
  <c r="F44" i="38"/>
  <c r="F64" i="38" s="1"/>
  <c r="C44" i="38"/>
  <c r="F45" i="38"/>
  <c r="F65" i="38" s="1"/>
  <c r="C45" i="38"/>
  <c r="F46" i="38"/>
  <c r="F66" i="38" s="1"/>
  <c r="C46" i="38"/>
  <c r="L5" i="35" s="1"/>
  <c r="F47" i="38"/>
  <c r="F67" i="38" s="1"/>
  <c r="C47" i="38"/>
  <c r="C48" i="38"/>
  <c r="AB18" i="36"/>
  <c r="AA18" i="36"/>
  <c r="S4" i="37"/>
  <c r="S3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7" i="37"/>
  <c r="S6" i="37"/>
  <c r="S5" i="37"/>
  <c r="E4" i="37"/>
  <c r="E5" i="37"/>
  <c r="E6" i="37"/>
  <c r="E7" i="37"/>
  <c r="E8" i="37"/>
  <c r="E9" i="37"/>
  <c r="E10" i="37"/>
  <c r="E11" i="37"/>
  <c r="E12" i="37"/>
  <c r="E13" i="37"/>
  <c r="E14" i="37"/>
  <c r="E15" i="37"/>
  <c r="E16" i="37"/>
  <c r="E17" i="37"/>
  <c r="E18" i="37"/>
  <c r="E19" i="37"/>
  <c r="E20" i="37"/>
  <c r="E21" i="37"/>
  <c r="E22" i="37"/>
  <c r="E3" i="37"/>
  <c r="K23" i="37"/>
  <c r="O23" i="37"/>
  <c r="N23" i="37"/>
  <c r="J23" i="37"/>
  <c r="D13" i="36"/>
  <c r="D14" i="36"/>
  <c r="E4" i="36"/>
  <c r="F4" i="36"/>
  <c r="E5" i="36"/>
  <c r="F5" i="36"/>
  <c r="E6" i="36"/>
  <c r="F6" i="36"/>
  <c r="E7" i="36"/>
  <c r="F7" i="36"/>
  <c r="E8" i="36"/>
  <c r="F8" i="36"/>
  <c r="E9" i="36"/>
  <c r="F9" i="36"/>
  <c r="E10" i="36"/>
  <c r="F10" i="36"/>
  <c r="E11" i="36"/>
  <c r="F11" i="36"/>
  <c r="E12" i="36"/>
  <c r="F12" i="36"/>
  <c r="E13" i="36"/>
  <c r="F13" i="36"/>
  <c r="E14" i="36"/>
  <c r="F14" i="36"/>
  <c r="E15" i="36"/>
  <c r="F15" i="36"/>
  <c r="E16" i="36"/>
  <c r="F16" i="36"/>
  <c r="F3" i="36"/>
  <c r="E3" i="36"/>
  <c r="D5" i="36"/>
  <c r="D6" i="36"/>
  <c r="D7" i="36"/>
  <c r="D8" i="36"/>
  <c r="D9" i="36"/>
  <c r="D10" i="36"/>
  <c r="D11" i="36"/>
  <c r="D12" i="36"/>
  <c r="H28" i="37"/>
  <c r="O25" i="35"/>
  <c r="P25" i="35" s="1"/>
  <c r="O22" i="35"/>
  <c r="N22" i="35"/>
  <c r="M22" i="35"/>
  <c r="AH6" i="15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3" i="32"/>
  <c r="H18" i="35" l="1"/>
  <c r="E44" i="38"/>
  <c r="E64" i="38" s="1"/>
  <c r="D64" i="38"/>
  <c r="I43" i="38"/>
  <c r="F63" i="38"/>
  <c r="K43" i="39"/>
  <c r="L43" i="39" s="1"/>
  <c r="C67" i="38"/>
  <c r="L9" i="35"/>
  <c r="C62" i="38"/>
  <c r="K34" i="39"/>
  <c r="C58" i="38"/>
  <c r="E48" i="38"/>
  <c r="E68" i="38" s="1"/>
  <c r="D68" i="38"/>
  <c r="F50" i="38"/>
  <c r="F59" i="38"/>
  <c r="E35" i="38"/>
  <c r="L8" i="35"/>
  <c r="E45" i="38"/>
  <c r="E65" i="38" s="1"/>
  <c r="K44" i="39"/>
  <c r="C68" i="38"/>
  <c r="K42" i="39"/>
  <c r="C66" i="38"/>
  <c r="L10" i="35"/>
  <c r="C61" i="38"/>
  <c r="C57" i="38"/>
  <c r="E42" i="38"/>
  <c r="E62" i="38" s="1"/>
  <c r="G44" i="38"/>
  <c r="G64" i="38" s="1"/>
  <c r="C64" i="38"/>
  <c r="L14" i="35"/>
  <c r="E47" i="38"/>
  <c r="E67" i="38" s="1"/>
  <c r="D67" i="38"/>
  <c r="E39" i="38"/>
  <c r="E59" i="38" s="1"/>
  <c r="D59" i="38"/>
  <c r="E41" i="38"/>
  <c r="K40" i="39"/>
  <c r="G45" i="38"/>
  <c r="G65" i="38" s="1"/>
  <c r="C65" i="38"/>
  <c r="L11" i="35"/>
  <c r="C60" i="38"/>
  <c r="E46" i="38"/>
  <c r="D66" i="38"/>
  <c r="E38" i="38"/>
  <c r="E58" i="38" s="1"/>
  <c r="D58" i="38"/>
  <c r="E40" i="38"/>
  <c r="E60" i="38" s="1"/>
  <c r="K35" i="39"/>
  <c r="L35" i="39" s="1"/>
  <c r="C59" i="38"/>
  <c r="E36" i="38"/>
  <c r="E56" i="38" s="1"/>
  <c r="D56" i="38"/>
  <c r="K39" i="39"/>
  <c r="L39" i="39" s="1"/>
  <c r="E43" i="38"/>
  <c r="D63" i="38"/>
  <c r="K41" i="39"/>
  <c r="L41" i="39" s="1"/>
  <c r="E37" i="38"/>
  <c r="E57" i="38" s="1"/>
  <c r="G35" i="38"/>
  <c r="L6" i="35"/>
  <c r="H35" i="38"/>
  <c r="L7" i="35"/>
  <c r="K38" i="39"/>
  <c r="L38" i="39" s="1"/>
  <c r="G48" i="38"/>
  <c r="G68" i="38" s="1"/>
  <c r="G40" i="38"/>
  <c r="G60" i="38" s="1"/>
  <c r="L3" i="35"/>
  <c r="L13" i="35"/>
  <c r="G42" i="38"/>
  <c r="G62" i="38" s="1"/>
  <c r="K37" i="39"/>
  <c r="L37" i="39" s="1"/>
  <c r="G39" i="38"/>
  <c r="G59" i="38" s="1"/>
  <c r="G38" i="38"/>
  <c r="G58" i="38" s="1"/>
  <c r="K36" i="39"/>
  <c r="L36" i="39" s="1"/>
  <c r="H19" i="35"/>
  <c r="V9" i="36"/>
  <c r="D17" i="36"/>
  <c r="P4" i="35"/>
  <c r="E38" i="39"/>
  <c r="G41" i="39"/>
  <c r="G33" i="39"/>
  <c r="G40" i="39"/>
  <c r="F32" i="39"/>
  <c r="H32" i="39" s="1"/>
  <c r="L32" i="39"/>
  <c r="L42" i="39"/>
  <c r="L34" i="39"/>
  <c r="G39" i="39"/>
  <c r="G44" i="39"/>
  <c r="G38" i="39"/>
  <c r="C40" i="39"/>
  <c r="F40" i="39" s="1"/>
  <c r="G37" i="39"/>
  <c r="F38" i="39"/>
  <c r="E32" i="39"/>
  <c r="G36" i="39"/>
  <c r="G43" i="39"/>
  <c r="G35" i="39"/>
  <c r="G42" i="39"/>
  <c r="G34" i="39"/>
  <c r="F31" i="39"/>
  <c r="L33" i="39"/>
  <c r="C39" i="39"/>
  <c r="C44" i="39"/>
  <c r="F44" i="39" s="1"/>
  <c r="H44" i="39" s="1"/>
  <c r="L40" i="39"/>
  <c r="L31" i="39"/>
  <c r="C37" i="39"/>
  <c r="F37" i="39" s="1"/>
  <c r="D46" i="39"/>
  <c r="G31" i="39"/>
  <c r="C36" i="39"/>
  <c r="F36" i="39" s="1"/>
  <c r="C43" i="39"/>
  <c r="F43" i="39" s="1"/>
  <c r="H43" i="39" s="1"/>
  <c r="C35" i="39"/>
  <c r="F35" i="39" s="1"/>
  <c r="H35" i="39" s="1"/>
  <c r="L44" i="39"/>
  <c r="C42" i="39"/>
  <c r="F42" i="39" s="1"/>
  <c r="C34" i="39"/>
  <c r="F34" i="39" s="1"/>
  <c r="C41" i="39"/>
  <c r="F41" i="39" s="1"/>
  <c r="H41" i="39" s="1"/>
  <c r="C33" i="39"/>
  <c r="F33" i="39" s="1"/>
  <c r="N39" i="39"/>
  <c r="N36" i="39"/>
  <c r="B46" i="39"/>
  <c r="P17" i="35"/>
  <c r="P15" i="35"/>
  <c r="P9" i="35"/>
  <c r="H43" i="38"/>
  <c r="H63" i="38" s="1"/>
  <c r="I44" i="38"/>
  <c r="H36" i="38"/>
  <c r="H38" i="38"/>
  <c r="H58" i="38" s="1"/>
  <c r="H45" i="38"/>
  <c r="H47" i="38"/>
  <c r="H40" i="38"/>
  <c r="I35" i="38"/>
  <c r="H39" i="38"/>
  <c r="I45" i="38"/>
  <c r="I36" i="38"/>
  <c r="H44" i="38"/>
  <c r="H64" i="38" s="1"/>
  <c r="H42" i="38"/>
  <c r="H48" i="38"/>
  <c r="H68" i="38" s="1"/>
  <c r="H41" i="38"/>
  <c r="C50" i="38"/>
  <c r="I47" i="38"/>
  <c r="I38" i="38"/>
  <c r="I58" i="38" s="1"/>
  <c r="I41" i="38"/>
  <c r="I61" i="38" s="1"/>
  <c r="H46" i="38"/>
  <c r="H66" i="38" s="1"/>
  <c r="I40" i="38"/>
  <c r="H37" i="38"/>
  <c r="I48" i="38"/>
  <c r="I46" i="38"/>
  <c r="I66" i="38" s="1"/>
  <c r="I39" i="38"/>
  <c r="I37" i="38"/>
  <c r="I42" i="38"/>
  <c r="L4" i="35"/>
  <c r="V10" i="36"/>
  <c r="V8" i="36"/>
  <c r="H29" i="37"/>
  <c r="P9" i="37" s="1"/>
  <c r="V16" i="36"/>
  <c r="S23" i="37"/>
  <c r="V3" i="36"/>
  <c r="V6" i="36"/>
  <c r="V14" i="36"/>
  <c r="V11" i="36"/>
  <c r="V12" i="36"/>
  <c r="V4" i="36"/>
  <c r="V7" i="36"/>
  <c r="V15" i="36"/>
  <c r="V5" i="36"/>
  <c r="V13" i="36"/>
  <c r="Q4" i="23"/>
  <c r="R4" i="23"/>
  <c r="Q5" i="23"/>
  <c r="R5" i="23"/>
  <c r="Q6" i="23"/>
  <c r="R6" i="23"/>
  <c r="Q7" i="23"/>
  <c r="R7" i="23"/>
  <c r="Q8" i="23"/>
  <c r="R8" i="23"/>
  <c r="Q9" i="23"/>
  <c r="R9" i="23"/>
  <c r="Q10" i="23"/>
  <c r="R10" i="23"/>
  <c r="Q11" i="23"/>
  <c r="R11" i="23"/>
  <c r="Q12" i="23"/>
  <c r="R12" i="23"/>
  <c r="Q13" i="23"/>
  <c r="R13" i="23"/>
  <c r="Q14" i="23"/>
  <c r="R14" i="23"/>
  <c r="Q15" i="23"/>
  <c r="R15" i="23"/>
  <c r="Q16" i="23"/>
  <c r="R16" i="23"/>
  <c r="Q17" i="23"/>
  <c r="R17" i="23"/>
  <c r="Q18" i="23"/>
  <c r="R18" i="23"/>
  <c r="Q19" i="23"/>
  <c r="R19" i="23"/>
  <c r="Q20" i="23"/>
  <c r="R20" i="23"/>
  <c r="Q21" i="23"/>
  <c r="R21" i="23"/>
  <c r="Q22" i="23"/>
  <c r="R22" i="23"/>
  <c r="Q23" i="23"/>
  <c r="R23" i="23"/>
  <c r="Q24" i="23"/>
  <c r="R24" i="23"/>
  <c r="Q25" i="23"/>
  <c r="R25" i="23"/>
  <c r="Q26" i="23"/>
  <c r="R26" i="23"/>
  <c r="Q27" i="23"/>
  <c r="R27" i="23"/>
  <c r="Q28" i="23"/>
  <c r="R28" i="23"/>
  <c r="R3" i="23"/>
  <c r="Q3" i="23"/>
  <c r="L4" i="23"/>
  <c r="M4" i="23"/>
  <c r="L5" i="23"/>
  <c r="M5" i="23"/>
  <c r="L6" i="23"/>
  <c r="M6" i="23"/>
  <c r="L7" i="23"/>
  <c r="M7" i="23"/>
  <c r="L8" i="23"/>
  <c r="M8" i="23"/>
  <c r="L9" i="23"/>
  <c r="M9" i="23"/>
  <c r="L10" i="23"/>
  <c r="M10" i="23"/>
  <c r="L11" i="23"/>
  <c r="M11" i="23"/>
  <c r="L12" i="23"/>
  <c r="M12" i="23"/>
  <c r="L13" i="23"/>
  <c r="M13" i="23"/>
  <c r="L14" i="23"/>
  <c r="M14" i="23"/>
  <c r="L15" i="23"/>
  <c r="M15" i="23"/>
  <c r="L16" i="23"/>
  <c r="M16" i="23"/>
  <c r="L17" i="23"/>
  <c r="M17" i="23"/>
  <c r="L18" i="23"/>
  <c r="M18" i="23"/>
  <c r="L19" i="23"/>
  <c r="M19" i="23"/>
  <c r="L20" i="23"/>
  <c r="M20" i="23"/>
  <c r="L21" i="23"/>
  <c r="M21" i="23"/>
  <c r="L22" i="23"/>
  <c r="M22" i="23"/>
  <c r="L23" i="23"/>
  <c r="M23" i="23"/>
  <c r="L24" i="23"/>
  <c r="M24" i="23"/>
  <c r="L25" i="23"/>
  <c r="M25" i="23"/>
  <c r="L26" i="23"/>
  <c r="M26" i="23"/>
  <c r="L27" i="23"/>
  <c r="M27" i="23"/>
  <c r="L28" i="23"/>
  <c r="M28" i="23"/>
  <c r="M3" i="23"/>
  <c r="L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3" i="23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" i="32"/>
  <c r="I12" i="35" l="1"/>
  <c r="I59" i="38"/>
  <c r="I4" i="35"/>
  <c r="I67" i="38"/>
  <c r="J12" i="35"/>
  <c r="E12" i="35" s="1"/>
  <c r="N12" i="35" s="1"/>
  <c r="H59" i="38"/>
  <c r="I15" i="35"/>
  <c r="I56" i="38"/>
  <c r="I16" i="35"/>
  <c r="D16" i="35" s="1"/>
  <c r="G47" i="38"/>
  <c r="G67" i="38" s="1"/>
  <c r="I3" i="35"/>
  <c r="D3" i="35" s="1"/>
  <c r="M3" i="35" s="1"/>
  <c r="R3" i="35" s="1"/>
  <c r="I68" i="38"/>
  <c r="J10" i="35"/>
  <c r="E10" i="35" s="1"/>
  <c r="N10" i="35" s="1"/>
  <c r="H61" i="38"/>
  <c r="J11" i="35"/>
  <c r="E11" i="35" s="1"/>
  <c r="N11" i="35" s="1"/>
  <c r="H60" i="38"/>
  <c r="N31" i="39"/>
  <c r="J16" i="35"/>
  <c r="E16" i="35" s="1"/>
  <c r="E17" i="35" s="1"/>
  <c r="J17" i="35" s="1"/>
  <c r="G43" i="38"/>
  <c r="G63" i="38" s="1"/>
  <c r="E63" i="38"/>
  <c r="G41" i="38"/>
  <c r="G61" i="38" s="1"/>
  <c r="E61" i="38"/>
  <c r="J15" i="35"/>
  <c r="H56" i="38"/>
  <c r="I14" i="35"/>
  <c r="D14" i="35" s="1"/>
  <c r="M14" i="35" s="1"/>
  <c r="I57" i="38"/>
  <c r="J14" i="35"/>
  <c r="E14" i="35" s="1"/>
  <c r="N14" i="35" s="1"/>
  <c r="H57" i="38"/>
  <c r="J4" i="35"/>
  <c r="E4" i="35" s="1"/>
  <c r="N4" i="35" s="1"/>
  <c r="H67" i="38"/>
  <c r="I8" i="35"/>
  <c r="D8" i="35" s="1"/>
  <c r="M8" i="35" s="1"/>
  <c r="I63" i="38"/>
  <c r="I9" i="35"/>
  <c r="D9" i="35" s="1"/>
  <c r="M9" i="35" s="1"/>
  <c r="I62" i="38"/>
  <c r="I6" i="35"/>
  <c r="D6" i="35" s="1"/>
  <c r="M6" i="35" s="1"/>
  <c r="I65" i="38"/>
  <c r="I11" i="35"/>
  <c r="D11" i="35" s="1"/>
  <c r="M11" i="35" s="1"/>
  <c r="I60" i="38"/>
  <c r="J9" i="35"/>
  <c r="E9" i="35" s="1"/>
  <c r="N9" i="35" s="1"/>
  <c r="H62" i="38"/>
  <c r="J6" i="35"/>
  <c r="E6" i="35" s="1"/>
  <c r="N6" i="35" s="1"/>
  <c r="H65" i="38"/>
  <c r="G36" i="38"/>
  <c r="G56" i="38" s="1"/>
  <c r="G46" i="38"/>
  <c r="G66" i="38" s="1"/>
  <c r="E66" i="38"/>
  <c r="I7" i="35"/>
  <c r="D7" i="35" s="1"/>
  <c r="M7" i="35" s="1"/>
  <c r="I64" i="38"/>
  <c r="J44" i="38"/>
  <c r="J64" i="38" s="1"/>
  <c r="E50" i="38"/>
  <c r="G37" i="38"/>
  <c r="G57" i="38" s="1"/>
  <c r="N17" i="35"/>
  <c r="S17" i="35" s="1"/>
  <c r="M31" i="39"/>
  <c r="M33" i="39"/>
  <c r="H40" i="39"/>
  <c r="L29" i="23"/>
  <c r="M29" i="23"/>
  <c r="G29" i="23"/>
  <c r="Q29" i="23"/>
  <c r="R29" i="23"/>
  <c r="H29" i="23"/>
  <c r="D4" i="35"/>
  <c r="M4" i="35" s="1"/>
  <c r="H37" i="39"/>
  <c r="E37" i="39"/>
  <c r="E40" i="39"/>
  <c r="H34" i="39"/>
  <c r="H42" i="39"/>
  <c r="H36" i="39"/>
  <c r="H38" i="39"/>
  <c r="H33" i="39"/>
  <c r="E42" i="39"/>
  <c r="C46" i="39"/>
  <c r="E35" i="39"/>
  <c r="E41" i="39"/>
  <c r="E43" i="39"/>
  <c r="E39" i="39"/>
  <c r="F39" i="39"/>
  <c r="H39" i="39" s="1"/>
  <c r="E36" i="39"/>
  <c r="E33" i="39"/>
  <c r="E44" i="39"/>
  <c r="H31" i="39"/>
  <c r="E34" i="39"/>
  <c r="N32" i="39"/>
  <c r="N33" i="39"/>
  <c r="N37" i="39"/>
  <c r="I10" i="35"/>
  <c r="N40" i="39"/>
  <c r="I13" i="35"/>
  <c r="N34" i="39"/>
  <c r="N35" i="39"/>
  <c r="N41" i="39"/>
  <c r="I5" i="35"/>
  <c r="N42" i="39"/>
  <c r="N43" i="39"/>
  <c r="N38" i="39"/>
  <c r="M37" i="39"/>
  <c r="M35" i="39"/>
  <c r="M36" i="39"/>
  <c r="N44" i="39"/>
  <c r="M38" i="39"/>
  <c r="M32" i="39"/>
  <c r="M41" i="39"/>
  <c r="J5" i="35"/>
  <c r="M42" i="39"/>
  <c r="J7" i="35"/>
  <c r="M40" i="39"/>
  <c r="J13" i="35"/>
  <c r="E13" i="35" s="1"/>
  <c r="M34" i="39"/>
  <c r="M43" i="39"/>
  <c r="J43" i="38"/>
  <c r="J63" i="38" s="1"/>
  <c r="J8" i="35"/>
  <c r="E8" i="35" s="1"/>
  <c r="J3" i="35"/>
  <c r="E3" i="35" s="1"/>
  <c r="M44" i="39"/>
  <c r="J42" i="38"/>
  <c r="J62" i="38" s="1"/>
  <c r="J40" i="38"/>
  <c r="J60" i="38" s="1"/>
  <c r="J36" i="38"/>
  <c r="J56" i="38" s="1"/>
  <c r="J38" i="38"/>
  <c r="J58" i="38" s="1"/>
  <c r="J35" i="38"/>
  <c r="J39" i="38"/>
  <c r="J59" i="38" s="1"/>
  <c r="J45" i="38"/>
  <c r="J65" i="38" s="1"/>
  <c r="J48" i="38"/>
  <c r="J68" i="38" s="1"/>
  <c r="J41" i="38"/>
  <c r="J61" i="38" s="1"/>
  <c r="J37" i="38"/>
  <c r="J57" i="38" s="1"/>
  <c r="J47" i="38"/>
  <c r="J67" i="38" s="1"/>
  <c r="J46" i="38"/>
  <c r="J66" i="38" s="1"/>
  <c r="L17" i="37"/>
  <c r="L14" i="37"/>
  <c r="P3" i="37"/>
  <c r="P21" i="37"/>
  <c r="H15" i="37"/>
  <c r="M8" i="34" s="1"/>
  <c r="H12" i="37"/>
  <c r="M11" i="34" s="1"/>
  <c r="L5" i="37"/>
  <c r="L19" i="37"/>
  <c r="H19" i="37"/>
  <c r="M4" i="34" s="1"/>
  <c r="H4" i="37"/>
  <c r="P4" i="37"/>
  <c r="H6" i="37"/>
  <c r="P23" i="37"/>
  <c r="H11" i="37"/>
  <c r="M12" i="34" s="1"/>
  <c r="H7" i="37"/>
  <c r="H10" i="37"/>
  <c r="L15" i="37"/>
  <c r="H20" i="37"/>
  <c r="H5" i="37"/>
  <c r="L22" i="37"/>
  <c r="L7" i="37"/>
  <c r="H21" i="37"/>
  <c r="L16" i="37"/>
  <c r="H17" i="37"/>
  <c r="M6" i="34" s="1"/>
  <c r="L4" i="37"/>
  <c r="H13" i="37"/>
  <c r="L8" i="37"/>
  <c r="H9" i="37"/>
  <c r="M14" i="34" s="1"/>
  <c r="P19" i="37"/>
  <c r="L11" i="37"/>
  <c r="L20" i="37"/>
  <c r="H22" i="37"/>
  <c r="L9" i="37"/>
  <c r="H18" i="37"/>
  <c r="M5" i="34" s="1"/>
  <c r="L21" i="37"/>
  <c r="L12" i="37"/>
  <c r="H14" i="37"/>
  <c r="M9" i="34" s="1"/>
  <c r="M10" i="34"/>
  <c r="L18" i="37"/>
  <c r="L6" i="37"/>
  <c r="L13" i="37"/>
  <c r="P6" i="37"/>
  <c r="P11" i="37"/>
  <c r="H23" i="37"/>
  <c r="L10" i="37"/>
  <c r="L3" i="37"/>
  <c r="P18" i="37"/>
  <c r="L23" i="37"/>
  <c r="P16" i="37"/>
  <c r="P15" i="37"/>
  <c r="P13" i="37"/>
  <c r="P20" i="37"/>
  <c r="H16" i="37"/>
  <c r="P22" i="37"/>
  <c r="P10" i="37"/>
  <c r="P17" i="37"/>
  <c r="P8" i="37"/>
  <c r="P7" i="37"/>
  <c r="P5" i="37"/>
  <c r="P12" i="37"/>
  <c r="H8" i="37"/>
  <c r="H3" i="37"/>
  <c r="P14" i="37"/>
  <c r="E35" i="23"/>
  <c r="Q30" i="24"/>
  <c r="O30" i="24"/>
  <c r="N30" i="24"/>
  <c r="L30" i="24"/>
  <c r="V30" i="24" s="1"/>
  <c r="K30" i="24"/>
  <c r="I30" i="24"/>
  <c r="U30" i="24" s="1"/>
  <c r="F30" i="24"/>
  <c r="T30" i="24" s="1"/>
  <c r="E30" i="24"/>
  <c r="C30" i="24"/>
  <c r="S30" i="24" s="1"/>
  <c r="Q29" i="24"/>
  <c r="O29" i="24"/>
  <c r="N29" i="24"/>
  <c r="L29" i="24"/>
  <c r="V29" i="24" s="1"/>
  <c r="K29" i="24"/>
  <c r="I29" i="24"/>
  <c r="U29" i="24" s="1"/>
  <c r="F29" i="24"/>
  <c r="T29" i="24" s="1"/>
  <c r="E29" i="24"/>
  <c r="C29" i="24"/>
  <c r="S29" i="24" s="1"/>
  <c r="Q28" i="24"/>
  <c r="O28" i="24"/>
  <c r="N28" i="24"/>
  <c r="L28" i="24"/>
  <c r="V28" i="24" s="1"/>
  <c r="K28" i="24"/>
  <c r="I28" i="24"/>
  <c r="U28" i="24" s="1"/>
  <c r="F28" i="24"/>
  <c r="T28" i="24" s="1"/>
  <c r="E28" i="24"/>
  <c r="C28" i="24"/>
  <c r="S28" i="24" s="1"/>
  <c r="Q27" i="24"/>
  <c r="O27" i="24"/>
  <c r="N27" i="24"/>
  <c r="L27" i="24"/>
  <c r="V27" i="24" s="1"/>
  <c r="K27" i="24"/>
  <c r="I27" i="24"/>
  <c r="U27" i="24" s="1"/>
  <c r="H27" i="24"/>
  <c r="F27" i="24"/>
  <c r="T27" i="24" s="1"/>
  <c r="E27" i="24"/>
  <c r="C27" i="24"/>
  <c r="S27" i="24" s="1"/>
  <c r="Q26" i="24"/>
  <c r="O26" i="24"/>
  <c r="N26" i="24"/>
  <c r="L26" i="24"/>
  <c r="V26" i="24" s="1"/>
  <c r="K26" i="24"/>
  <c r="I26" i="24"/>
  <c r="U26" i="24" s="1"/>
  <c r="H26" i="24"/>
  <c r="F26" i="24"/>
  <c r="T26" i="24" s="1"/>
  <c r="E26" i="24"/>
  <c r="C26" i="24"/>
  <c r="S26" i="24" s="1"/>
  <c r="Q25" i="24"/>
  <c r="O25" i="24"/>
  <c r="N25" i="24"/>
  <c r="L25" i="24"/>
  <c r="V25" i="24" s="1"/>
  <c r="K25" i="24"/>
  <c r="I25" i="24"/>
  <c r="U25" i="24" s="1"/>
  <c r="H25" i="24"/>
  <c r="F25" i="24"/>
  <c r="T25" i="24" s="1"/>
  <c r="E25" i="24"/>
  <c r="C25" i="24"/>
  <c r="S25" i="24" s="1"/>
  <c r="Q24" i="24"/>
  <c r="O24" i="24"/>
  <c r="N24" i="24"/>
  <c r="L24" i="24"/>
  <c r="V24" i="24" s="1"/>
  <c r="K24" i="24"/>
  <c r="I24" i="24"/>
  <c r="U24" i="24" s="1"/>
  <c r="H24" i="24"/>
  <c r="F24" i="24"/>
  <c r="T24" i="24" s="1"/>
  <c r="E24" i="24"/>
  <c r="C24" i="24"/>
  <c r="S24" i="24" s="1"/>
  <c r="Q23" i="24"/>
  <c r="O23" i="24"/>
  <c r="N23" i="24"/>
  <c r="L23" i="24"/>
  <c r="V23" i="24" s="1"/>
  <c r="K23" i="24"/>
  <c r="I23" i="24"/>
  <c r="U23" i="24" s="1"/>
  <c r="H23" i="24"/>
  <c r="F23" i="24"/>
  <c r="T23" i="24" s="1"/>
  <c r="E23" i="24"/>
  <c r="C23" i="24"/>
  <c r="S23" i="24" s="1"/>
  <c r="Q22" i="24"/>
  <c r="O22" i="24"/>
  <c r="N22" i="24"/>
  <c r="L22" i="24"/>
  <c r="V22" i="24" s="1"/>
  <c r="K22" i="24"/>
  <c r="I22" i="24"/>
  <c r="U22" i="24" s="1"/>
  <c r="H22" i="24"/>
  <c r="F22" i="24"/>
  <c r="T22" i="24" s="1"/>
  <c r="E22" i="24"/>
  <c r="C22" i="24"/>
  <c r="S22" i="24" s="1"/>
  <c r="Q21" i="24"/>
  <c r="O21" i="24"/>
  <c r="N21" i="24"/>
  <c r="L21" i="24"/>
  <c r="V21" i="24" s="1"/>
  <c r="K21" i="24"/>
  <c r="I21" i="24"/>
  <c r="U21" i="24" s="1"/>
  <c r="H21" i="24"/>
  <c r="F21" i="24"/>
  <c r="T21" i="24" s="1"/>
  <c r="E21" i="24"/>
  <c r="C21" i="24"/>
  <c r="S21" i="24" s="1"/>
  <c r="Q20" i="24"/>
  <c r="O20" i="24"/>
  <c r="N20" i="24"/>
  <c r="L20" i="24"/>
  <c r="V20" i="24" s="1"/>
  <c r="K20" i="24"/>
  <c r="I20" i="24"/>
  <c r="U20" i="24" s="1"/>
  <c r="H20" i="24"/>
  <c r="F20" i="24"/>
  <c r="T20" i="24" s="1"/>
  <c r="E20" i="24"/>
  <c r="C20" i="24"/>
  <c r="S20" i="24" s="1"/>
  <c r="Q19" i="24"/>
  <c r="O19" i="24"/>
  <c r="N19" i="24"/>
  <c r="L19" i="24"/>
  <c r="V19" i="24" s="1"/>
  <c r="K19" i="24"/>
  <c r="I19" i="24"/>
  <c r="U19" i="24" s="1"/>
  <c r="H19" i="24"/>
  <c r="F19" i="24"/>
  <c r="T19" i="24" s="1"/>
  <c r="E19" i="24"/>
  <c r="C19" i="24"/>
  <c r="S19" i="24" s="1"/>
  <c r="Q18" i="24"/>
  <c r="O18" i="24"/>
  <c r="N18" i="24"/>
  <c r="L18" i="24"/>
  <c r="V18" i="24" s="1"/>
  <c r="K18" i="24"/>
  <c r="I18" i="24"/>
  <c r="U18" i="24" s="1"/>
  <c r="H18" i="24"/>
  <c r="F18" i="24"/>
  <c r="T18" i="24" s="1"/>
  <c r="E18" i="24"/>
  <c r="C18" i="24"/>
  <c r="S18" i="24" s="1"/>
  <c r="Q17" i="24"/>
  <c r="O17" i="24"/>
  <c r="N17" i="24"/>
  <c r="L17" i="24"/>
  <c r="V17" i="24" s="1"/>
  <c r="K17" i="24"/>
  <c r="I17" i="24"/>
  <c r="U17" i="24" s="1"/>
  <c r="H17" i="24"/>
  <c r="F17" i="24"/>
  <c r="T17" i="24" s="1"/>
  <c r="E17" i="24"/>
  <c r="C17" i="24"/>
  <c r="S17" i="24" s="1"/>
  <c r="Q16" i="24"/>
  <c r="O16" i="24"/>
  <c r="N16" i="24"/>
  <c r="L16" i="24"/>
  <c r="V16" i="24" s="1"/>
  <c r="K16" i="24"/>
  <c r="I16" i="24"/>
  <c r="U16" i="24" s="1"/>
  <c r="H16" i="24"/>
  <c r="F16" i="24"/>
  <c r="T16" i="24" s="1"/>
  <c r="E16" i="24"/>
  <c r="C16" i="24"/>
  <c r="S16" i="24" s="1"/>
  <c r="Q15" i="24"/>
  <c r="O15" i="24"/>
  <c r="N15" i="24"/>
  <c r="L15" i="24"/>
  <c r="V15" i="24" s="1"/>
  <c r="K15" i="24"/>
  <c r="I15" i="24"/>
  <c r="U15" i="24" s="1"/>
  <c r="H15" i="24"/>
  <c r="F15" i="24"/>
  <c r="T15" i="24" s="1"/>
  <c r="E15" i="24"/>
  <c r="C15" i="24"/>
  <c r="S15" i="24" s="1"/>
  <c r="Q14" i="24"/>
  <c r="O14" i="24"/>
  <c r="N14" i="24"/>
  <c r="L14" i="24"/>
  <c r="V14" i="24" s="1"/>
  <c r="K14" i="24"/>
  <c r="I14" i="24"/>
  <c r="U14" i="24" s="1"/>
  <c r="H14" i="24"/>
  <c r="F14" i="24"/>
  <c r="T14" i="24" s="1"/>
  <c r="E14" i="24"/>
  <c r="C14" i="24"/>
  <c r="S14" i="24" s="1"/>
  <c r="Q13" i="24"/>
  <c r="O13" i="24"/>
  <c r="N13" i="24"/>
  <c r="L13" i="24"/>
  <c r="V13" i="24" s="1"/>
  <c r="K13" i="24"/>
  <c r="I13" i="24"/>
  <c r="U13" i="24" s="1"/>
  <c r="H13" i="24"/>
  <c r="F13" i="24"/>
  <c r="T13" i="24" s="1"/>
  <c r="E13" i="24"/>
  <c r="C13" i="24"/>
  <c r="S13" i="24" s="1"/>
  <c r="Q12" i="24"/>
  <c r="O12" i="24"/>
  <c r="N12" i="24"/>
  <c r="L12" i="24"/>
  <c r="V12" i="24" s="1"/>
  <c r="K12" i="24"/>
  <c r="I12" i="24"/>
  <c r="U12" i="24" s="1"/>
  <c r="H12" i="24"/>
  <c r="F12" i="24"/>
  <c r="T12" i="24" s="1"/>
  <c r="E12" i="24"/>
  <c r="C12" i="24"/>
  <c r="S12" i="24" s="1"/>
  <c r="Q11" i="24"/>
  <c r="O11" i="24"/>
  <c r="N11" i="24"/>
  <c r="L11" i="24"/>
  <c r="V11" i="24" s="1"/>
  <c r="K11" i="24"/>
  <c r="I11" i="24"/>
  <c r="U11" i="24" s="1"/>
  <c r="H11" i="24"/>
  <c r="F11" i="24"/>
  <c r="T11" i="24" s="1"/>
  <c r="E11" i="24"/>
  <c r="C11" i="24"/>
  <c r="S11" i="24" s="1"/>
  <c r="Q10" i="24"/>
  <c r="O10" i="24"/>
  <c r="N10" i="24"/>
  <c r="L10" i="24"/>
  <c r="V10" i="24" s="1"/>
  <c r="K10" i="24"/>
  <c r="I10" i="24"/>
  <c r="U10" i="24" s="1"/>
  <c r="H10" i="24"/>
  <c r="F10" i="24"/>
  <c r="T10" i="24" s="1"/>
  <c r="E10" i="24"/>
  <c r="C10" i="24"/>
  <c r="S10" i="24" s="1"/>
  <c r="Q9" i="24"/>
  <c r="O9" i="24"/>
  <c r="N9" i="24"/>
  <c r="L9" i="24"/>
  <c r="V9" i="24" s="1"/>
  <c r="K9" i="24"/>
  <c r="I9" i="24"/>
  <c r="U9" i="24" s="1"/>
  <c r="H9" i="24"/>
  <c r="F9" i="24"/>
  <c r="T9" i="24" s="1"/>
  <c r="E9" i="24"/>
  <c r="C9" i="24"/>
  <c r="S9" i="24" s="1"/>
  <c r="Q8" i="24"/>
  <c r="O8" i="24"/>
  <c r="N8" i="24"/>
  <c r="L8" i="24"/>
  <c r="V8" i="24" s="1"/>
  <c r="K8" i="24"/>
  <c r="I8" i="24"/>
  <c r="U8" i="24" s="1"/>
  <c r="H8" i="24"/>
  <c r="F8" i="24"/>
  <c r="T8" i="24" s="1"/>
  <c r="E8" i="24"/>
  <c r="C8" i="24"/>
  <c r="S8" i="24" s="1"/>
  <c r="Q7" i="24"/>
  <c r="O7" i="24"/>
  <c r="N7" i="24"/>
  <c r="L7" i="24"/>
  <c r="V7" i="24" s="1"/>
  <c r="K7" i="24"/>
  <c r="I7" i="24"/>
  <c r="U7" i="24" s="1"/>
  <c r="H7" i="24"/>
  <c r="F7" i="24"/>
  <c r="T7" i="24" s="1"/>
  <c r="E7" i="24"/>
  <c r="C7" i="24"/>
  <c r="S7" i="24" s="1"/>
  <c r="Q6" i="24"/>
  <c r="O6" i="24"/>
  <c r="N6" i="24"/>
  <c r="L6" i="24"/>
  <c r="V6" i="24" s="1"/>
  <c r="K6" i="24"/>
  <c r="I6" i="24"/>
  <c r="U6" i="24" s="1"/>
  <c r="H6" i="24"/>
  <c r="F6" i="24"/>
  <c r="T6" i="24" s="1"/>
  <c r="E6" i="24"/>
  <c r="C6" i="24"/>
  <c r="S6" i="24" s="1"/>
  <c r="Q5" i="24"/>
  <c r="O5" i="24"/>
  <c r="N5" i="24"/>
  <c r="L5" i="24"/>
  <c r="V5" i="24" s="1"/>
  <c r="K5" i="24"/>
  <c r="I5" i="24"/>
  <c r="U5" i="24" s="1"/>
  <c r="H5" i="24"/>
  <c r="F5" i="24"/>
  <c r="T5" i="24" s="1"/>
  <c r="E5" i="24"/>
  <c r="C5" i="24"/>
  <c r="S5" i="24" s="1"/>
  <c r="E34" i="23"/>
  <c r="S28" i="23"/>
  <c r="S27" i="23"/>
  <c r="S26" i="23"/>
  <c r="U26" i="23" s="1"/>
  <c r="S25" i="23"/>
  <c r="S24" i="23"/>
  <c r="U24" i="23" s="1"/>
  <c r="S23" i="23"/>
  <c r="S22" i="23"/>
  <c r="S21" i="23"/>
  <c r="S20" i="23"/>
  <c r="U20" i="23" s="1"/>
  <c r="S19" i="23"/>
  <c r="U19" i="23" s="1"/>
  <c r="S18" i="23"/>
  <c r="S17" i="23"/>
  <c r="S16" i="23"/>
  <c r="S15" i="23"/>
  <c r="S14" i="23"/>
  <c r="S13" i="23"/>
  <c r="S12" i="23"/>
  <c r="U12" i="23" s="1"/>
  <c r="S11" i="23"/>
  <c r="S10" i="23"/>
  <c r="S9" i="23"/>
  <c r="S8" i="23"/>
  <c r="S7" i="23"/>
  <c r="S6" i="23"/>
  <c r="S5" i="23"/>
  <c r="S4" i="23"/>
  <c r="S3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9" i="23"/>
  <c r="N8" i="23"/>
  <c r="N7" i="23"/>
  <c r="N6" i="23"/>
  <c r="N5" i="23"/>
  <c r="N4" i="23"/>
  <c r="N3" i="23"/>
  <c r="I28" i="23"/>
  <c r="K28" i="23" s="1"/>
  <c r="I27" i="23"/>
  <c r="I26" i="23"/>
  <c r="I25" i="23"/>
  <c r="K25" i="23" s="1"/>
  <c r="I24" i="23"/>
  <c r="K24" i="23" s="1"/>
  <c r="I23" i="23"/>
  <c r="K23" i="23" s="1"/>
  <c r="I22" i="23"/>
  <c r="K22" i="23" s="1"/>
  <c r="I21" i="23"/>
  <c r="I20" i="23"/>
  <c r="I19" i="23"/>
  <c r="I18" i="23"/>
  <c r="I17" i="23"/>
  <c r="K17" i="23" s="1"/>
  <c r="I16" i="23"/>
  <c r="K16" i="23" s="1"/>
  <c r="I15" i="23"/>
  <c r="K15" i="23" s="1"/>
  <c r="I14" i="23"/>
  <c r="K14" i="23" s="1"/>
  <c r="I13" i="23"/>
  <c r="I12" i="23"/>
  <c r="I11" i="23"/>
  <c r="I10" i="23"/>
  <c r="I9" i="23"/>
  <c r="K9" i="23" s="1"/>
  <c r="I8" i="23"/>
  <c r="K8" i="23" s="1"/>
  <c r="I7" i="23"/>
  <c r="K7" i="23" s="1"/>
  <c r="I6" i="23"/>
  <c r="K6" i="23" s="1"/>
  <c r="I5" i="23"/>
  <c r="I4" i="23"/>
  <c r="I3" i="23"/>
  <c r="Z3" i="23" s="1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V28" i="23"/>
  <c r="V27" i="23"/>
  <c r="V26" i="23"/>
  <c r="V25" i="23"/>
  <c r="V24" i="23"/>
  <c r="V23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V10" i="23"/>
  <c r="V9" i="23"/>
  <c r="V8" i="23"/>
  <c r="V7" i="23"/>
  <c r="V6" i="23"/>
  <c r="V5" i="23"/>
  <c r="V4" i="23"/>
  <c r="V3" i="23"/>
  <c r="O30" i="22"/>
  <c r="N30" i="22"/>
  <c r="L30" i="22"/>
  <c r="K30" i="22"/>
  <c r="I30" i="22"/>
  <c r="F30" i="22"/>
  <c r="E30" i="22"/>
  <c r="C30" i="22"/>
  <c r="O29" i="22"/>
  <c r="N29" i="22"/>
  <c r="L29" i="22"/>
  <c r="K29" i="22"/>
  <c r="I29" i="22"/>
  <c r="F29" i="22"/>
  <c r="E29" i="22"/>
  <c r="C29" i="22"/>
  <c r="O28" i="22"/>
  <c r="N28" i="22"/>
  <c r="L28" i="22"/>
  <c r="K28" i="22"/>
  <c r="I28" i="22"/>
  <c r="F28" i="22"/>
  <c r="E28" i="22"/>
  <c r="C28" i="22"/>
  <c r="O27" i="22"/>
  <c r="N27" i="22"/>
  <c r="L27" i="22"/>
  <c r="K27" i="22"/>
  <c r="I27" i="22"/>
  <c r="H27" i="22"/>
  <c r="F27" i="22"/>
  <c r="E27" i="22"/>
  <c r="C27" i="22"/>
  <c r="O26" i="22"/>
  <c r="N26" i="22"/>
  <c r="L26" i="22"/>
  <c r="K26" i="22"/>
  <c r="I26" i="22"/>
  <c r="H26" i="22"/>
  <c r="F26" i="22"/>
  <c r="E26" i="22"/>
  <c r="C26" i="22"/>
  <c r="O25" i="22"/>
  <c r="N25" i="22"/>
  <c r="L25" i="22"/>
  <c r="K25" i="22"/>
  <c r="I25" i="22"/>
  <c r="H25" i="22"/>
  <c r="F25" i="22"/>
  <c r="E25" i="22"/>
  <c r="C25" i="22"/>
  <c r="O24" i="22"/>
  <c r="N24" i="22"/>
  <c r="L24" i="22"/>
  <c r="K24" i="22"/>
  <c r="I24" i="22"/>
  <c r="H24" i="22"/>
  <c r="P24" i="22" s="1"/>
  <c r="F24" i="22"/>
  <c r="E24" i="22"/>
  <c r="C24" i="22"/>
  <c r="O23" i="22"/>
  <c r="N23" i="22"/>
  <c r="L23" i="22"/>
  <c r="K23" i="22"/>
  <c r="I23" i="22"/>
  <c r="H23" i="22"/>
  <c r="F23" i="22"/>
  <c r="E23" i="22"/>
  <c r="C23" i="22"/>
  <c r="O22" i="22"/>
  <c r="N22" i="22"/>
  <c r="L22" i="22"/>
  <c r="K22" i="22"/>
  <c r="I22" i="22"/>
  <c r="H22" i="22"/>
  <c r="F22" i="22"/>
  <c r="E22" i="22"/>
  <c r="C22" i="22"/>
  <c r="O21" i="22"/>
  <c r="N21" i="22"/>
  <c r="L21" i="22"/>
  <c r="K21" i="22"/>
  <c r="I21" i="22"/>
  <c r="H21" i="22"/>
  <c r="P21" i="22" s="1"/>
  <c r="F21" i="22"/>
  <c r="E21" i="22"/>
  <c r="C21" i="22"/>
  <c r="O20" i="22"/>
  <c r="N20" i="22"/>
  <c r="L20" i="22"/>
  <c r="K20" i="22"/>
  <c r="I20" i="22"/>
  <c r="H20" i="22"/>
  <c r="F20" i="22"/>
  <c r="E20" i="22"/>
  <c r="C20" i="22"/>
  <c r="O19" i="22"/>
  <c r="N19" i="22"/>
  <c r="L19" i="22"/>
  <c r="K19" i="22"/>
  <c r="I19" i="22"/>
  <c r="H19" i="22"/>
  <c r="F19" i="22"/>
  <c r="E19" i="22"/>
  <c r="C19" i="22"/>
  <c r="O18" i="22"/>
  <c r="N18" i="22"/>
  <c r="L18" i="22"/>
  <c r="K18" i="22"/>
  <c r="I18" i="22"/>
  <c r="H18" i="22"/>
  <c r="F18" i="22"/>
  <c r="E18" i="22"/>
  <c r="C18" i="22"/>
  <c r="O17" i="22"/>
  <c r="N17" i="22"/>
  <c r="L17" i="22"/>
  <c r="K17" i="22"/>
  <c r="I17" i="22"/>
  <c r="H17" i="22"/>
  <c r="F17" i="22"/>
  <c r="E17" i="22"/>
  <c r="C17" i="22"/>
  <c r="O16" i="22"/>
  <c r="N16" i="22"/>
  <c r="L16" i="22"/>
  <c r="K16" i="22"/>
  <c r="I16" i="22"/>
  <c r="H16" i="22"/>
  <c r="F16" i="22"/>
  <c r="E16" i="22"/>
  <c r="C16" i="22"/>
  <c r="O15" i="22"/>
  <c r="N15" i="22"/>
  <c r="L15" i="22"/>
  <c r="K15" i="22"/>
  <c r="I15" i="22"/>
  <c r="H15" i="22"/>
  <c r="F15" i="22"/>
  <c r="E15" i="22"/>
  <c r="C15" i="22"/>
  <c r="O14" i="22"/>
  <c r="N14" i="22"/>
  <c r="L14" i="22"/>
  <c r="K14" i="22"/>
  <c r="I14" i="22"/>
  <c r="H14" i="22"/>
  <c r="F14" i="22"/>
  <c r="E14" i="22"/>
  <c r="C14" i="22"/>
  <c r="O13" i="22"/>
  <c r="N13" i="22"/>
  <c r="L13" i="22"/>
  <c r="K13" i="22"/>
  <c r="I13" i="22"/>
  <c r="H13" i="22"/>
  <c r="P13" i="22" s="1"/>
  <c r="F13" i="22"/>
  <c r="E13" i="22"/>
  <c r="C13" i="22"/>
  <c r="O12" i="22"/>
  <c r="N12" i="22"/>
  <c r="L12" i="22"/>
  <c r="K12" i="22"/>
  <c r="I12" i="22"/>
  <c r="H12" i="22"/>
  <c r="F12" i="22"/>
  <c r="E12" i="22"/>
  <c r="C12" i="22"/>
  <c r="O11" i="22"/>
  <c r="N11" i="22"/>
  <c r="L11" i="22"/>
  <c r="K11" i="22"/>
  <c r="I11" i="22"/>
  <c r="H11" i="22"/>
  <c r="F11" i="22"/>
  <c r="E11" i="22"/>
  <c r="C11" i="22"/>
  <c r="O10" i="22"/>
  <c r="N10" i="22"/>
  <c r="L10" i="22"/>
  <c r="K10" i="22"/>
  <c r="I10" i="22"/>
  <c r="H10" i="22"/>
  <c r="F10" i="22"/>
  <c r="E10" i="22"/>
  <c r="C10" i="22"/>
  <c r="O9" i="22"/>
  <c r="N9" i="22"/>
  <c r="L9" i="22"/>
  <c r="K9" i="22"/>
  <c r="I9" i="22"/>
  <c r="H9" i="22"/>
  <c r="F9" i="22"/>
  <c r="E9" i="22"/>
  <c r="C9" i="22"/>
  <c r="O8" i="22"/>
  <c r="N8" i="22"/>
  <c r="L8" i="22"/>
  <c r="K8" i="22"/>
  <c r="I8" i="22"/>
  <c r="H8" i="22"/>
  <c r="F8" i="22"/>
  <c r="E8" i="22"/>
  <c r="C8" i="22"/>
  <c r="O7" i="22"/>
  <c r="N7" i="22"/>
  <c r="L7" i="22"/>
  <c r="K7" i="22"/>
  <c r="I7" i="22"/>
  <c r="H7" i="22"/>
  <c r="F7" i="22"/>
  <c r="E7" i="22"/>
  <c r="C7" i="22"/>
  <c r="O6" i="22"/>
  <c r="N6" i="22"/>
  <c r="L6" i="22"/>
  <c r="K6" i="22"/>
  <c r="I6" i="22"/>
  <c r="H6" i="22"/>
  <c r="F6" i="22"/>
  <c r="E6" i="22"/>
  <c r="C6" i="22"/>
  <c r="O5" i="22"/>
  <c r="N5" i="22"/>
  <c r="L5" i="22"/>
  <c r="K5" i="22"/>
  <c r="I5" i="22"/>
  <c r="H5" i="22"/>
  <c r="P5" i="22" s="1"/>
  <c r="F5" i="22"/>
  <c r="E5" i="22"/>
  <c r="C5" i="22"/>
  <c r="K29" i="21"/>
  <c r="H18" i="21"/>
  <c r="H19" i="21"/>
  <c r="H20" i="21"/>
  <c r="H21" i="21"/>
  <c r="H22" i="21"/>
  <c r="H23" i="21"/>
  <c r="H24" i="21"/>
  <c r="H25" i="21"/>
  <c r="H26" i="21"/>
  <c r="H27" i="21"/>
  <c r="H17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P13" i="21"/>
  <c r="P7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L29" i="21"/>
  <c r="K6" i="21"/>
  <c r="K7" i="21"/>
  <c r="K8" i="21"/>
  <c r="K9" i="21"/>
  <c r="K10" i="21"/>
  <c r="K11" i="21"/>
  <c r="K12" i="21"/>
  <c r="K13" i="21"/>
  <c r="K14" i="21"/>
  <c r="K15" i="21"/>
  <c r="K16" i="21"/>
  <c r="K17" i="21"/>
  <c r="P17" i="21" s="1"/>
  <c r="K18" i="21"/>
  <c r="K19" i="21"/>
  <c r="K20" i="21"/>
  <c r="K21" i="21"/>
  <c r="P21" i="21" s="1"/>
  <c r="K22" i="21"/>
  <c r="K23" i="21"/>
  <c r="K24" i="21"/>
  <c r="K25" i="21"/>
  <c r="K26" i="21"/>
  <c r="K27" i="21"/>
  <c r="K28" i="21"/>
  <c r="K30" i="21"/>
  <c r="H6" i="21"/>
  <c r="P6" i="21" s="1"/>
  <c r="H7" i="21"/>
  <c r="H8" i="21"/>
  <c r="H9" i="21"/>
  <c r="P9" i="21" s="1"/>
  <c r="H10" i="21"/>
  <c r="P10" i="21" s="1"/>
  <c r="H11" i="21"/>
  <c r="H12" i="21"/>
  <c r="H13" i="21"/>
  <c r="H14" i="21"/>
  <c r="H15" i="21"/>
  <c r="H16" i="21"/>
  <c r="O30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P22" i="21" s="1"/>
  <c r="O23" i="21"/>
  <c r="O24" i="21"/>
  <c r="O25" i="21"/>
  <c r="O26" i="21"/>
  <c r="P26" i="21" s="1"/>
  <c r="O27" i="21"/>
  <c r="O28" i="21"/>
  <c r="O29" i="21"/>
  <c r="O5" i="21"/>
  <c r="N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30" i="21"/>
  <c r="L5" i="21"/>
  <c r="K5" i="21"/>
  <c r="I6" i="21"/>
  <c r="I7" i="21"/>
  <c r="I8" i="21"/>
  <c r="I9" i="21"/>
  <c r="I10" i="21"/>
  <c r="I11" i="21"/>
  <c r="I12" i="21"/>
  <c r="I13" i="21"/>
  <c r="I14" i="21"/>
  <c r="I15" i="21"/>
  <c r="I16" i="21"/>
  <c r="I5" i="21"/>
  <c r="H5" i="21"/>
  <c r="P5" i="21" s="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5" i="21"/>
  <c r="E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5" i="21"/>
  <c r="E15" i="35" l="1"/>
  <c r="N15" i="35"/>
  <c r="D15" i="35"/>
  <c r="M15" i="35"/>
  <c r="H24" i="37"/>
  <c r="K16" i="35"/>
  <c r="F16" i="35" s="1"/>
  <c r="F17" i="35" s="1"/>
  <c r="K17" i="35" s="1"/>
  <c r="K12" i="35"/>
  <c r="F12" i="35" s="1"/>
  <c r="D12" i="35"/>
  <c r="M12" i="35" s="1"/>
  <c r="G12" i="34" s="1"/>
  <c r="K6" i="35"/>
  <c r="F6" i="35" s="1"/>
  <c r="K9" i="35"/>
  <c r="F9" i="35" s="1"/>
  <c r="K15" i="35"/>
  <c r="F15" i="35" s="1"/>
  <c r="K11" i="35"/>
  <c r="F11" i="35" s="1"/>
  <c r="K4" i="35"/>
  <c r="F4" i="35" s="1"/>
  <c r="K14" i="35"/>
  <c r="F14" i="35" s="1"/>
  <c r="G50" i="38"/>
  <c r="D17" i="35"/>
  <c r="I17" i="35" s="1"/>
  <c r="M16" i="35"/>
  <c r="F3" i="23"/>
  <c r="D29" i="23"/>
  <c r="I29" i="23"/>
  <c r="AB19" i="23"/>
  <c r="N29" i="23"/>
  <c r="S29" i="23"/>
  <c r="P7" i="22"/>
  <c r="P10" i="22"/>
  <c r="P15" i="22"/>
  <c r="P18" i="22"/>
  <c r="P23" i="22"/>
  <c r="P26" i="22"/>
  <c r="P16" i="22"/>
  <c r="P9" i="22"/>
  <c r="P17" i="22"/>
  <c r="P25" i="22"/>
  <c r="P8" i="22"/>
  <c r="P6" i="22"/>
  <c r="P11" i="22"/>
  <c r="P14" i="22"/>
  <c r="P19" i="22"/>
  <c r="P22" i="22"/>
  <c r="P27" i="22"/>
  <c r="P12" i="22"/>
  <c r="P20" i="22"/>
  <c r="P28" i="22"/>
  <c r="P29" i="22"/>
  <c r="P30" i="22"/>
  <c r="AA15" i="23"/>
  <c r="P15" i="23"/>
  <c r="AB5" i="23"/>
  <c r="U5" i="23"/>
  <c r="Z10" i="23"/>
  <c r="K10" i="23"/>
  <c r="Z18" i="23"/>
  <c r="K18" i="23"/>
  <c r="Z26" i="23"/>
  <c r="K26" i="23"/>
  <c r="AA8" i="23"/>
  <c r="P8" i="23"/>
  <c r="AA16" i="23"/>
  <c r="P16" i="23"/>
  <c r="AA24" i="23"/>
  <c r="P24" i="23"/>
  <c r="AB6" i="23"/>
  <c r="U6" i="23"/>
  <c r="AB14" i="23"/>
  <c r="U14" i="23"/>
  <c r="AB22" i="23"/>
  <c r="U22" i="23"/>
  <c r="AA7" i="23"/>
  <c r="P7" i="23"/>
  <c r="AA23" i="23"/>
  <c r="P23" i="23"/>
  <c r="AB13" i="23"/>
  <c r="U13" i="23"/>
  <c r="AB21" i="23"/>
  <c r="U21" i="23"/>
  <c r="K3" i="23"/>
  <c r="Z11" i="23"/>
  <c r="K11" i="23"/>
  <c r="Z19" i="23"/>
  <c r="K19" i="23"/>
  <c r="Z27" i="23"/>
  <c r="K27" i="23"/>
  <c r="AA9" i="23"/>
  <c r="P9" i="23"/>
  <c r="AA17" i="23"/>
  <c r="P17" i="23"/>
  <c r="AA25" i="23"/>
  <c r="P25" i="23"/>
  <c r="AB7" i="23"/>
  <c r="U7" i="23"/>
  <c r="AB15" i="23"/>
  <c r="U15" i="23"/>
  <c r="AB23" i="23"/>
  <c r="U23" i="23"/>
  <c r="AB26" i="23"/>
  <c r="AA18" i="23"/>
  <c r="P18" i="23"/>
  <c r="AB16" i="23"/>
  <c r="U16" i="23"/>
  <c r="Z5" i="23"/>
  <c r="K5" i="23"/>
  <c r="Z13" i="23"/>
  <c r="K13" i="23"/>
  <c r="Z21" i="23"/>
  <c r="K21" i="23"/>
  <c r="AA3" i="23"/>
  <c r="P3" i="23"/>
  <c r="AA11" i="23"/>
  <c r="P11" i="23"/>
  <c r="AA19" i="23"/>
  <c r="P19" i="23"/>
  <c r="AA27" i="23"/>
  <c r="P27" i="23"/>
  <c r="AB9" i="23"/>
  <c r="U9" i="23"/>
  <c r="AB17" i="23"/>
  <c r="U17" i="23"/>
  <c r="AB25" i="23"/>
  <c r="U25" i="23"/>
  <c r="AB12" i="23"/>
  <c r="Z4" i="23"/>
  <c r="K4" i="23"/>
  <c r="AA26" i="23"/>
  <c r="P26" i="23"/>
  <c r="AA4" i="23"/>
  <c r="P4" i="23"/>
  <c r="AA12" i="23"/>
  <c r="P12" i="23"/>
  <c r="AA20" i="23"/>
  <c r="P20" i="23"/>
  <c r="AA28" i="23"/>
  <c r="P28" i="23"/>
  <c r="AB10" i="23"/>
  <c r="U10" i="23"/>
  <c r="AB18" i="23"/>
  <c r="U18" i="23"/>
  <c r="AB20" i="23"/>
  <c r="Z12" i="23"/>
  <c r="K12" i="23"/>
  <c r="AA10" i="23"/>
  <c r="P10" i="23"/>
  <c r="AA5" i="23"/>
  <c r="P5" i="23"/>
  <c r="AA13" i="23"/>
  <c r="P13" i="23"/>
  <c r="AA21" i="23"/>
  <c r="P21" i="23"/>
  <c r="U3" i="23"/>
  <c r="AB11" i="23"/>
  <c r="U11" i="23"/>
  <c r="AB27" i="23"/>
  <c r="U27" i="23"/>
  <c r="AB24" i="23"/>
  <c r="Z20" i="23"/>
  <c r="K20" i="23"/>
  <c r="AB8" i="23"/>
  <c r="U8" i="23"/>
  <c r="AA6" i="23"/>
  <c r="P6" i="23"/>
  <c r="AA14" i="23"/>
  <c r="P14" i="23"/>
  <c r="AA22" i="23"/>
  <c r="P22" i="23"/>
  <c r="AB4" i="23"/>
  <c r="U4" i="23"/>
  <c r="K23" i="34"/>
  <c r="U28" i="23"/>
  <c r="AB28" i="23"/>
  <c r="F6" i="23"/>
  <c r="Y6" i="23"/>
  <c r="F14" i="23"/>
  <c r="Y14" i="23"/>
  <c r="F22" i="23"/>
  <c r="Y22" i="23"/>
  <c r="Z28" i="23"/>
  <c r="J23" i="34"/>
  <c r="F20" i="23"/>
  <c r="Y20" i="23"/>
  <c r="F13" i="23"/>
  <c r="Y13" i="23"/>
  <c r="F7" i="23"/>
  <c r="Y7" i="23"/>
  <c r="F15" i="23"/>
  <c r="Y15" i="23"/>
  <c r="F23" i="23"/>
  <c r="Y23" i="23"/>
  <c r="F28" i="23"/>
  <c r="L23" i="34"/>
  <c r="Y28" i="23"/>
  <c r="F8" i="23"/>
  <c r="Y8" i="23"/>
  <c r="F16" i="23"/>
  <c r="Y16" i="23"/>
  <c r="F24" i="23"/>
  <c r="Y24" i="23"/>
  <c r="F9" i="23"/>
  <c r="Y9" i="23"/>
  <c r="F17" i="23"/>
  <c r="Y17" i="23"/>
  <c r="F25" i="23"/>
  <c r="Y25" i="23"/>
  <c r="F10" i="23"/>
  <c r="Y10" i="23"/>
  <c r="F18" i="23"/>
  <c r="Y18" i="23"/>
  <c r="F26" i="23"/>
  <c r="Y26" i="23"/>
  <c r="F11" i="23"/>
  <c r="Y11" i="23"/>
  <c r="F19" i="23"/>
  <c r="Y19" i="23"/>
  <c r="F27" i="23"/>
  <c r="Y27" i="23"/>
  <c r="F4" i="23"/>
  <c r="Y4" i="23"/>
  <c r="F12" i="23"/>
  <c r="Y12" i="23"/>
  <c r="F5" i="23"/>
  <c r="Y5" i="23"/>
  <c r="F21" i="23"/>
  <c r="Y21" i="23"/>
  <c r="P8" i="21"/>
  <c r="D13" i="35"/>
  <c r="M13" i="35" s="1"/>
  <c r="E7" i="35"/>
  <c r="N7" i="35" s="1"/>
  <c r="D10" i="35"/>
  <c r="M10" i="35" s="1"/>
  <c r="D5" i="35"/>
  <c r="M5" i="35" s="1"/>
  <c r="E5" i="35"/>
  <c r="N5" i="35" s="1"/>
  <c r="K10" i="35"/>
  <c r="F10" i="35" s="1"/>
  <c r="K5" i="35"/>
  <c r="F5" i="35" s="1"/>
  <c r="K7" i="35"/>
  <c r="F7" i="35" s="1"/>
  <c r="M39" i="39"/>
  <c r="E46" i="39"/>
  <c r="K3" i="35"/>
  <c r="F3" i="35" s="1"/>
  <c r="N13" i="35"/>
  <c r="K13" i="35"/>
  <c r="F13" i="35" s="1"/>
  <c r="N8" i="35"/>
  <c r="K8" i="35"/>
  <c r="F8" i="35" s="1"/>
  <c r="M13" i="34"/>
  <c r="M3" i="34"/>
  <c r="M7" i="34"/>
  <c r="S4" i="35"/>
  <c r="F4" i="34"/>
  <c r="R4" i="35"/>
  <c r="G4" i="34"/>
  <c r="S12" i="35"/>
  <c r="F12" i="34"/>
  <c r="S10" i="35"/>
  <c r="F10" i="34"/>
  <c r="R11" i="35"/>
  <c r="G11" i="34"/>
  <c r="S11" i="35"/>
  <c r="F11" i="34"/>
  <c r="O4" i="35"/>
  <c r="T4" i="35" s="1"/>
  <c r="O11" i="35"/>
  <c r="T11" i="35" s="1"/>
  <c r="W3" i="23"/>
  <c r="W6" i="23"/>
  <c r="X6" i="23" s="1"/>
  <c r="Z6" i="23"/>
  <c r="W14" i="23"/>
  <c r="X14" i="23" s="1"/>
  <c r="Z14" i="23"/>
  <c r="W22" i="23"/>
  <c r="Z22" i="23"/>
  <c r="W4" i="23"/>
  <c r="X4" i="23" s="1"/>
  <c r="W12" i="23"/>
  <c r="X12" i="23" s="1"/>
  <c r="W20" i="23"/>
  <c r="X20" i="23" s="1"/>
  <c r="W28" i="23"/>
  <c r="X28" i="23" s="1"/>
  <c r="W7" i="23"/>
  <c r="X7" i="23" s="1"/>
  <c r="Z7" i="23"/>
  <c r="W15" i="23"/>
  <c r="X15" i="23" s="1"/>
  <c r="Z15" i="23"/>
  <c r="W23" i="23"/>
  <c r="X23" i="23" s="1"/>
  <c r="Z23" i="23"/>
  <c r="W5" i="23"/>
  <c r="X5" i="23" s="1"/>
  <c r="W13" i="23"/>
  <c r="X13" i="23" s="1"/>
  <c r="W21" i="23"/>
  <c r="X21" i="23" s="1"/>
  <c r="W11" i="23"/>
  <c r="X11" i="23" s="1"/>
  <c r="W19" i="23"/>
  <c r="X19" i="23" s="1"/>
  <c r="W27" i="23"/>
  <c r="X27" i="23" s="1"/>
  <c r="W8" i="23"/>
  <c r="X8" i="23" s="1"/>
  <c r="Z8" i="23"/>
  <c r="W16" i="23"/>
  <c r="X16" i="23" s="1"/>
  <c r="Z16" i="23"/>
  <c r="W24" i="23"/>
  <c r="X24" i="23" s="1"/>
  <c r="Z24" i="23"/>
  <c r="W9" i="23"/>
  <c r="X9" i="23" s="1"/>
  <c r="Z9" i="23"/>
  <c r="W17" i="23"/>
  <c r="X17" i="23" s="1"/>
  <c r="Z17" i="23"/>
  <c r="W25" i="23"/>
  <c r="X25" i="23" s="1"/>
  <c r="Z25" i="23"/>
  <c r="P6" i="24"/>
  <c r="P10" i="24"/>
  <c r="P29" i="24"/>
  <c r="P18" i="24"/>
  <c r="P26" i="24"/>
  <c r="P28" i="24"/>
  <c r="P14" i="24"/>
  <c r="P22" i="24"/>
  <c r="P12" i="24"/>
  <c r="W13" i="24"/>
  <c r="P20" i="24"/>
  <c r="W21" i="24"/>
  <c r="P8" i="24"/>
  <c r="P16" i="24"/>
  <c r="P24" i="24"/>
  <c r="P30" i="24"/>
  <c r="P5" i="24"/>
  <c r="P7" i="24"/>
  <c r="P9" i="24"/>
  <c r="P11" i="24"/>
  <c r="P13" i="24"/>
  <c r="P15" i="24"/>
  <c r="P17" i="24"/>
  <c r="P19" i="24"/>
  <c r="P21" i="24"/>
  <c r="P23" i="24"/>
  <c r="P25" i="24"/>
  <c r="P27" i="24"/>
  <c r="W22" i="24"/>
  <c r="W24" i="24"/>
  <c r="W29" i="24"/>
  <c r="W10" i="23"/>
  <c r="X10" i="23" s="1"/>
  <c r="W18" i="23"/>
  <c r="X18" i="23" s="1"/>
  <c r="W26" i="23"/>
  <c r="X26" i="23" s="1"/>
  <c r="X22" i="23"/>
  <c r="P15" i="21"/>
  <c r="P14" i="21"/>
  <c r="P16" i="21"/>
  <c r="P30" i="21"/>
  <c r="P24" i="21"/>
  <c r="P29" i="21"/>
  <c r="P27" i="21"/>
  <c r="P19" i="21"/>
  <c r="P23" i="21"/>
  <c r="P25" i="21"/>
  <c r="P18" i="21"/>
  <c r="P11" i="21"/>
  <c r="P28" i="21"/>
  <c r="P20" i="21"/>
  <c r="P12" i="21"/>
  <c r="R12" i="35" l="1"/>
  <c r="O12" i="35"/>
  <c r="T12" i="35" s="1"/>
  <c r="M17" i="35"/>
  <c r="O17" i="35" s="1"/>
  <c r="T17" i="35" s="1"/>
  <c r="X3" i="23"/>
  <c r="W29" i="23"/>
  <c r="O5" i="35"/>
  <c r="T5" i="35" s="1"/>
  <c r="F5" i="34"/>
  <c r="S5" i="35"/>
  <c r="R10" i="35"/>
  <c r="O10" i="35"/>
  <c r="T10" i="35" s="1"/>
  <c r="G10" i="34"/>
  <c r="R13" i="35"/>
  <c r="G13" i="34"/>
  <c r="G5" i="34"/>
  <c r="O13" i="35"/>
  <c r="T13" i="35" s="1"/>
  <c r="R5" i="35"/>
  <c r="F13" i="34"/>
  <c r="S13" i="35"/>
  <c r="M17" i="34"/>
  <c r="S7" i="35"/>
  <c r="F7" i="34"/>
  <c r="R14" i="35"/>
  <c r="G14" i="34"/>
  <c r="H12" i="34"/>
  <c r="I12" i="34" s="1"/>
  <c r="J12" i="34" s="1"/>
  <c r="S14" i="35"/>
  <c r="F14" i="34"/>
  <c r="R15" i="35"/>
  <c r="G15" i="34"/>
  <c r="S9" i="35"/>
  <c r="F9" i="34"/>
  <c r="R7" i="35"/>
  <c r="G7" i="34"/>
  <c r="S6" i="35"/>
  <c r="F6" i="34"/>
  <c r="S15" i="35"/>
  <c r="F15" i="34"/>
  <c r="R6" i="35"/>
  <c r="G6" i="34"/>
  <c r="H11" i="34"/>
  <c r="I11" i="34" s="1"/>
  <c r="K11" i="34" s="1"/>
  <c r="H4" i="34"/>
  <c r="S8" i="35"/>
  <c r="F8" i="34"/>
  <c r="R9" i="35"/>
  <c r="G9" i="34"/>
  <c r="R8" i="35"/>
  <c r="G8" i="34"/>
  <c r="W10" i="24"/>
  <c r="W28" i="24"/>
  <c r="O14" i="35"/>
  <c r="T14" i="35" s="1"/>
  <c r="O6" i="35"/>
  <c r="T6" i="35" s="1"/>
  <c r="O8" i="35"/>
  <c r="T8" i="35" s="1"/>
  <c r="O15" i="35"/>
  <c r="T15" i="35" s="1"/>
  <c r="O7" i="35"/>
  <c r="T7" i="35" s="1"/>
  <c r="O9" i="35"/>
  <c r="T9" i="35" s="1"/>
  <c r="W18" i="24"/>
  <c r="W16" i="24"/>
  <c r="W23" i="24"/>
  <c r="W26" i="24"/>
  <c r="W20" i="24"/>
  <c r="W12" i="24"/>
  <c r="W30" i="24"/>
  <c r="W9" i="24"/>
  <c r="W8" i="24"/>
  <c r="W6" i="24"/>
  <c r="W5" i="24"/>
  <c r="W19" i="24"/>
  <c r="W25" i="24"/>
  <c r="W14" i="24"/>
  <c r="W17" i="24"/>
  <c r="W15" i="24"/>
  <c r="W11" i="24"/>
  <c r="W7" i="24"/>
  <c r="W27" i="24"/>
  <c r="R17" i="35" l="1"/>
  <c r="H5" i="34"/>
  <c r="I5" i="34" s="1"/>
  <c r="H10" i="34"/>
  <c r="I10" i="34" s="1"/>
  <c r="J10" i="34" s="1"/>
  <c r="H13" i="34"/>
  <c r="I13" i="34" s="1"/>
  <c r="K12" i="34"/>
  <c r="J11" i="34"/>
  <c r="I4" i="34"/>
  <c r="L11" i="34"/>
  <c r="L12" i="34"/>
  <c r="H14" i="34"/>
  <c r="H7" i="34"/>
  <c r="I7" i="34" s="1"/>
  <c r="K7" i="34" s="1"/>
  <c r="H15" i="34"/>
  <c r="H8" i="34"/>
  <c r="I8" i="34" s="1"/>
  <c r="H9" i="34"/>
  <c r="H6" i="34"/>
  <c r="I6" i="34" s="1"/>
  <c r="I15" i="34" l="1"/>
  <c r="L15" i="34" s="1"/>
  <c r="K10" i="34"/>
  <c r="L10" i="34"/>
  <c r="K8" i="34"/>
  <c r="J8" i="34"/>
  <c r="J6" i="34"/>
  <c r="K6" i="34"/>
  <c r="K5" i="34"/>
  <c r="J5" i="34"/>
  <c r="J4" i="34"/>
  <c r="K4" i="34"/>
  <c r="J7" i="34"/>
  <c r="L7" i="34"/>
  <c r="L8" i="34"/>
  <c r="J13" i="34"/>
  <c r="K13" i="34"/>
  <c r="L4" i="34"/>
  <c r="L13" i="34"/>
  <c r="L6" i="34"/>
  <c r="I9" i="34"/>
  <c r="L9" i="34" s="1"/>
  <c r="I14" i="34"/>
  <c r="L14" i="34" s="1"/>
  <c r="L5" i="34"/>
  <c r="K15" i="34" l="1"/>
  <c r="J15" i="34"/>
  <c r="J9" i="34"/>
  <c r="K9" i="34"/>
  <c r="K14" i="34"/>
  <c r="J14" i="34"/>
  <c r="P3" i="35" l="1"/>
  <c r="N3" i="35"/>
  <c r="G3" i="34" l="1"/>
  <c r="O3" i="35"/>
  <c r="T3" i="35" s="1"/>
  <c r="F3" i="34"/>
  <c r="S3" i="35"/>
  <c r="H3" i="34" l="1"/>
  <c r="I3" i="34" s="1"/>
  <c r="K3" i="34" s="1"/>
  <c r="L19" i="35"/>
  <c r="L18" i="35" s="1"/>
  <c r="N16" i="35"/>
  <c r="N23" i="35" s="1"/>
  <c r="J3" i="34" l="1"/>
  <c r="M18" i="35"/>
  <c r="N18" i="35"/>
  <c r="L3" i="34"/>
  <c r="G16" i="34"/>
  <c r="R16" i="35"/>
  <c r="F16" i="34"/>
  <c r="P16" i="35"/>
  <c r="S16" i="35"/>
  <c r="S18" i="35" l="1"/>
  <c r="R18" i="35"/>
  <c r="O16" i="35"/>
  <c r="P18" i="35"/>
  <c r="O23" i="35" l="1"/>
  <c r="P23" i="35" s="1"/>
  <c r="T16" i="35"/>
  <c r="H16" i="34"/>
  <c r="O18" i="35"/>
  <c r="M18" i="34" l="1"/>
  <c r="M24" i="34" s="1"/>
  <c r="M27" i="35"/>
  <c r="M29" i="35" s="1"/>
  <c r="N27" i="35"/>
  <c r="N29" i="35" s="1"/>
  <c r="I16" i="34"/>
  <c r="L16" i="34" s="1"/>
  <c r="T18" i="35"/>
  <c r="H3" i="36"/>
  <c r="O27" i="35"/>
  <c r="O29" i="35" s="1"/>
  <c r="G17" i="34"/>
  <c r="F17" i="34"/>
  <c r="K16" i="34" l="1"/>
  <c r="K17" i="34" s="1"/>
  <c r="O4" i="34" s="1"/>
  <c r="M4" i="36" s="1"/>
  <c r="J16" i="34"/>
  <c r="J17" i="34" s="1"/>
  <c r="I3" i="36"/>
  <c r="H8" i="36"/>
  <c r="J4" i="36"/>
  <c r="H5" i="36"/>
  <c r="H10" i="36"/>
  <c r="H6" i="36"/>
  <c r="J8" i="36"/>
  <c r="I9" i="36"/>
  <c r="J7" i="36"/>
  <c r="J13" i="36"/>
  <c r="I7" i="36"/>
  <c r="H9" i="36"/>
  <c r="H13" i="36"/>
  <c r="J11" i="36"/>
  <c r="I10" i="36"/>
  <c r="I8" i="36"/>
  <c r="I14" i="36"/>
  <c r="I15" i="36"/>
  <c r="I11" i="36"/>
  <c r="H4" i="36"/>
  <c r="J9" i="36"/>
  <c r="J5" i="36"/>
  <c r="I4" i="36"/>
  <c r="H12" i="36"/>
  <c r="I12" i="36"/>
  <c r="H7" i="36"/>
  <c r="J14" i="36"/>
  <c r="J3" i="36"/>
  <c r="J15" i="36"/>
  <c r="I6" i="36"/>
  <c r="J6" i="36"/>
  <c r="J12" i="36"/>
  <c r="J10" i="36"/>
  <c r="H15" i="36"/>
  <c r="I5" i="36"/>
  <c r="I13" i="36"/>
  <c r="H14" i="36"/>
  <c r="H11" i="36"/>
  <c r="J16" i="36"/>
  <c r="I16" i="36"/>
  <c r="H16" i="36"/>
  <c r="L17" i="34"/>
  <c r="H17" i="34"/>
  <c r="I17" i="34" s="1"/>
  <c r="O12" i="34" l="1"/>
  <c r="M12" i="36" s="1"/>
  <c r="U12" i="36" s="1"/>
  <c r="Y12" i="36" s="1"/>
  <c r="O5" i="34"/>
  <c r="M5" i="36" s="1"/>
  <c r="P5" i="36" s="1"/>
  <c r="O14" i="34"/>
  <c r="M14" i="36" s="1"/>
  <c r="U14" i="36" s="1"/>
  <c r="Y14" i="36" s="1"/>
  <c r="O7" i="34"/>
  <c r="M7" i="36" s="1"/>
  <c r="U7" i="36" s="1"/>
  <c r="Y7" i="36" s="1"/>
  <c r="O10" i="34"/>
  <c r="M10" i="36" s="1"/>
  <c r="P10" i="36" s="1"/>
  <c r="O16" i="34"/>
  <c r="M16" i="36" s="1"/>
  <c r="U16" i="36" s="1"/>
  <c r="Y16" i="36" s="1"/>
  <c r="O8" i="34"/>
  <c r="M8" i="36" s="1"/>
  <c r="U8" i="36" s="1"/>
  <c r="Y8" i="36" s="1"/>
  <c r="O3" i="34"/>
  <c r="M3" i="36" s="1"/>
  <c r="O13" i="34"/>
  <c r="M13" i="36" s="1"/>
  <c r="U13" i="36" s="1"/>
  <c r="Y13" i="36" s="1"/>
  <c r="O9" i="34"/>
  <c r="M9" i="36" s="1"/>
  <c r="U9" i="36" s="1"/>
  <c r="Y9" i="36" s="1"/>
  <c r="K18" i="34"/>
  <c r="K24" i="34" s="1"/>
  <c r="O6" i="34"/>
  <c r="M6" i="36" s="1"/>
  <c r="U6" i="36" s="1"/>
  <c r="Y6" i="36" s="1"/>
  <c r="O11" i="34"/>
  <c r="M11" i="36" s="1"/>
  <c r="U11" i="36" s="1"/>
  <c r="Y11" i="36" s="1"/>
  <c r="O15" i="34"/>
  <c r="M15" i="36" s="1"/>
  <c r="U15" i="36" s="1"/>
  <c r="Y15" i="36" s="1"/>
  <c r="P3" i="34"/>
  <c r="K3" i="36" s="1"/>
  <c r="N3" i="36" s="1"/>
  <c r="Z3" i="36" s="1"/>
  <c r="P15" i="34"/>
  <c r="K15" i="36" s="1"/>
  <c r="J18" i="34"/>
  <c r="J22" i="34" s="1"/>
  <c r="N3" i="34"/>
  <c r="U4" i="36"/>
  <c r="Y4" i="36" s="1"/>
  <c r="H17" i="36"/>
  <c r="J17" i="36"/>
  <c r="I17" i="36"/>
  <c r="L18" i="34"/>
  <c r="L22" i="34" s="1"/>
  <c r="P4" i="36"/>
  <c r="P8" i="34"/>
  <c r="K8" i="36" s="1"/>
  <c r="P4" i="34"/>
  <c r="K4" i="36" s="1"/>
  <c r="P9" i="34"/>
  <c r="K9" i="36" s="1"/>
  <c r="P7" i="34"/>
  <c r="K7" i="36" s="1"/>
  <c r="P14" i="34"/>
  <c r="K14" i="36" s="1"/>
  <c r="P13" i="34"/>
  <c r="K13" i="36" s="1"/>
  <c r="P10" i="34"/>
  <c r="K10" i="36" s="1"/>
  <c r="P6" i="34"/>
  <c r="K6" i="36" s="1"/>
  <c r="P16" i="34"/>
  <c r="K16" i="36" s="1"/>
  <c r="P5" i="34"/>
  <c r="K5" i="36" s="1"/>
  <c r="P11" i="34"/>
  <c r="K11" i="36" s="1"/>
  <c r="P12" i="34"/>
  <c r="K12" i="36" s="1"/>
  <c r="P27" i="35"/>
  <c r="M22" i="34" l="1"/>
  <c r="P6" i="36"/>
  <c r="AB6" i="36" s="1"/>
  <c r="P12" i="36"/>
  <c r="AB12" i="36" s="1"/>
  <c r="U10" i="36"/>
  <c r="Y10" i="36" s="1"/>
  <c r="P7" i="36"/>
  <c r="AB7" i="36" s="1"/>
  <c r="U5" i="36"/>
  <c r="Y5" i="36" s="1"/>
  <c r="K22" i="34"/>
  <c r="P16" i="36"/>
  <c r="AB16" i="36" s="1"/>
  <c r="P15" i="36"/>
  <c r="AB15" i="36" s="1"/>
  <c r="P11" i="36"/>
  <c r="AB11" i="36" s="1"/>
  <c r="O17" i="34"/>
  <c r="P8" i="36"/>
  <c r="AB8" i="36" s="1"/>
  <c r="P9" i="36"/>
  <c r="AB9" i="36" s="1"/>
  <c r="M17" i="36"/>
  <c r="P14" i="36"/>
  <c r="AB14" i="36" s="1"/>
  <c r="P13" i="36"/>
  <c r="AB13" i="36" s="1"/>
  <c r="L24" i="34"/>
  <c r="K25" i="34" s="1"/>
  <c r="S3" i="36"/>
  <c r="W3" i="36" s="1"/>
  <c r="K17" i="36"/>
  <c r="N14" i="36"/>
  <c r="Z14" i="36" s="1"/>
  <c r="S14" i="36"/>
  <c r="W14" i="36" s="1"/>
  <c r="P3" i="36"/>
  <c r="AD3" i="36" s="1"/>
  <c r="U3" i="36"/>
  <c r="Y3" i="36" s="1"/>
  <c r="N5" i="36"/>
  <c r="AD5" i="36" s="1"/>
  <c r="S5" i="36"/>
  <c r="W5" i="36" s="1"/>
  <c r="N9" i="36"/>
  <c r="S9" i="36"/>
  <c r="W9" i="36" s="1"/>
  <c r="N13" i="36"/>
  <c r="S13" i="36"/>
  <c r="W13" i="36" s="1"/>
  <c r="N12" i="36"/>
  <c r="Z12" i="36" s="1"/>
  <c r="S12" i="36"/>
  <c r="W12" i="36" s="1"/>
  <c r="N11" i="36"/>
  <c r="S11" i="36"/>
  <c r="W11" i="36" s="1"/>
  <c r="N16" i="36"/>
  <c r="S16" i="36"/>
  <c r="W16" i="36" s="1"/>
  <c r="N8" i="36"/>
  <c r="Z8" i="36" s="1"/>
  <c r="S8" i="36"/>
  <c r="W8" i="36" s="1"/>
  <c r="N10" i="36"/>
  <c r="S10" i="36"/>
  <c r="W10" i="36" s="1"/>
  <c r="N7" i="36"/>
  <c r="Z7" i="36" s="1"/>
  <c r="S7" i="36"/>
  <c r="W7" i="36" s="1"/>
  <c r="N4" i="36"/>
  <c r="AD4" i="36" s="1"/>
  <c r="S4" i="36"/>
  <c r="W4" i="36" s="1"/>
  <c r="N6" i="36"/>
  <c r="S6" i="36"/>
  <c r="W6" i="36" s="1"/>
  <c r="N15" i="36"/>
  <c r="S15" i="36"/>
  <c r="W15" i="36" s="1"/>
  <c r="AB4" i="36"/>
  <c r="AB5" i="36"/>
  <c r="AB10" i="36"/>
  <c r="P17" i="34"/>
  <c r="AD16" i="36" l="1"/>
  <c r="AD15" i="36"/>
  <c r="AD11" i="36"/>
  <c r="AD9" i="36"/>
  <c r="AD13" i="36"/>
  <c r="AB3" i="36"/>
  <c r="AB17" i="36" s="1"/>
  <c r="Z10" i="36"/>
  <c r="Z13" i="36"/>
  <c r="Z5" i="36"/>
  <c r="Z16" i="36"/>
  <c r="Z9" i="36"/>
  <c r="AD10" i="36"/>
  <c r="Z15" i="36"/>
  <c r="AD6" i="36"/>
  <c r="Z6" i="36"/>
  <c r="AD8" i="36"/>
  <c r="AD14" i="36"/>
  <c r="Z11" i="36"/>
  <c r="AD7" i="36"/>
  <c r="Z4" i="36"/>
  <c r="AD12" i="36"/>
  <c r="Z17" i="36" l="1"/>
  <c r="J18" i="36" l="1"/>
  <c r="K19" i="36"/>
  <c r="M19" i="36"/>
  <c r="N13" i="34"/>
  <c r="L13" i="36" s="1"/>
  <c r="N15" i="34"/>
  <c r="L15" i="36" s="1"/>
  <c r="N14" i="34"/>
  <c r="L14" i="36" s="1"/>
  <c r="O14" i="36" s="1"/>
  <c r="N4" i="34"/>
  <c r="L4" i="36" s="1"/>
  <c r="T4" i="36" s="1"/>
  <c r="X4" i="36" s="1"/>
  <c r="N7" i="34"/>
  <c r="L7" i="36" s="1"/>
  <c r="O7" i="36" s="1"/>
  <c r="J24" i="34"/>
  <c r="J25" i="34" s="1"/>
  <c r="N5" i="34"/>
  <c r="L5" i="36" s="1"/>
  <c r="N11" i="34"/>
  <c r="L11" i="36" s="1"/>
  <c r="N8" i="34"/>
  <c r="L8" i="36" s="1"/>
  <c r="N12" i="34"/>
  <c r="L12" i="36" s="1"/>
  <c r="N6" i="34"/>
  <c r="L6" i="36" s="1"/>
  <c r="N16" i="34"/>
  <c r="L16" i="36" s="1"/>
  <c r="N9" i="34"/>
  <c r="L9" i="36" s="1"/>
  <c r="N10" i="34"/>
  <c r="L10" i="36" s="1"/>
  <c r="L3" i="36"/>
  <c r="N17" i="34" l="1"/>
  <c r="P18" i="34" s="1"/>
  <c r="O16" i="36"/>
  <c r="T16" i="36"/>
  <c r="X16" i="36" s="1"/>
  <c r="AC7" i="36"/>
  <c r="AA7" i="36"/>
  <c r="Q7" i="36"/>
  <c r="AF7" i="36" s="1"/>
  <c r="AE7" i="36"/>
  <c r="T6" i="36"/>
  <c r="X6" i="36" s="1"/>
  <c r="O6" i="36"/>
  <c r="O12" i="36"/>
  <c r="T12" i="36"/>
  <c r="X12" i="36" s="1"/>
  <c r="T8" i="36"/>
  <c r="X8" i="36" s="1"/>
  <c r="O8" i="36"/>
  <c r="Q14" i="36"/>
  <c r="AF14" i="36" s="1"/>
  <c r="AE14" i="36"/>
  <c r="AA14" i="36"/>
  <c r="AC14" i="36"/>
  <c r="T5" i="36"/>
  <c r="X5" i="36" s="1"/>
  <c r="O5" i="36"/>
  <c r="O9" i="36"/>
  <c r="T9" i="36"/>
  <c r="X9" i="36" s="1"/>
  <c r="T11" i="36"/>
  <c r="X11" i="36" s="1"/>
  <c r="O11" i="36"/>
  <c r="L17" i="36"/>
  <c r="O3" i="36"/>
  <c r="T3" i="36"/>
  <c r="X3" i="36" s="1"/>
  <c r="O15" i="36"/>
  <c r="T15" i="36"/>
  <c r="X15" i="36" s="1"/>
  <c r="O10" i="36"/>
  <c r="T10" i="36"/>
  <c r="X10" i="36" s="1"/>
  <c r="O13" i="36"/>
  <c r="T13" i="36"/>
  <c r="X13" i="36" s="1"/>
  <c r="T7" i="36"/>
  <c r="X7" i="36" s="1"/>
  <c r="T14" i="36"/>
  <c r="X14" i="36" s="1"/>
  <c r="O4" i="36"/>
  <c r="AE6" i="36" l="1"/>
  <c r="Q6" i="36"/>
  <c r="AF6" i="36" s="1"/>
  <c r="AC6" i="36"/>
  <c r="AA6" i="36"/>
  <c r="M18" i="36"/>
  <c r="L19" i="36"/>
  <c r="AC13" i="36"/>
  <c r="AE13" i="36"/>
  <c r="Q13" i="36"/>
  <c r="AF13" i="36" s="1"/>
  <c r="AA13" i="36"/>
  <c r="AC10" i="36"/>
  <c r="AA10" i="36"/>
  <c r="Q10" i="36"/>
  <c r="AF10" i="36" s="1"/>
  <c r="AE10" i="36"/>
  <c r="Q8" i="36"/>
  <c r="AF8" i="36" s="1"/>
  <c r="AC8" i="36"/>
  <c r="AE8" i="36"/>
  <c r="AA8" i="36"/>
  <c r="Q3" i="36"/>
  <c r="AF3" i="36" s="1"/>
  <c r="AA3" i="36"/>
  <c r="AE3" i="36"/>
  <c r="AC3" i="36"/>
  <c r="AC11" i="36"/>
  <c r="Q11" i="36"/>
  <c r="AF11" i="36" s="1"/>
  <c r="AE11" i="36"/>
  <c r="AA11" i="36"/>
  <c r="Q9" i="36"/>
  <c r="AF9" i="36" s="1"/>
  <c r="AE9" i="36"/>
  <c r="AA9" i="36"/>
  <c r="AC9" i="36"/>
  <c r="AE4" i="36"/>
  <c r="AC4" i="36"/>
  <c r="AA4" i="36"/>
  <c r="Q4" i="36"/>
  <c r="AF4" i="36" s="1"/>
  <c r="AA15" i="36"/>
  <c r="Q15" i="36"/>
  <c r="AF15" i="36" s="1"/>
  <c r="AE15" i="36"/>
  <c r="AC15" i="36"/>
  <c r="Q5" i="36"/>
  <c r="AF5" i="36" s="1"/>
  <c r="AA5" i="36"/>
  <c r="AC5" i="36"/>
  <c r="AE5" i="36"/>
  <c r="AE12" i="36"/>
  <c r="Q12" i="36"/>
  <c r="AF12" i="36" s="1"/>
  <c r="AA12" i="36"/>
  <c r="AC12" i="36"/>
  <c r="Q16" i="36"/>
  <c r="AF16" i="36" s="1"/>
  <c r="AA16" i="36"/>
  <c r="AE16" i="36"/>
  <c r="AC16" i="36"/>
  <c r="AC17" i="36" l="1"/>
  <c r="AA17" i="36"/>
</calcChain>
</file>

<file path=xl/sharedStrings.xml><?xml version="1.0" encoding="utf-8"?>
<sst xmlns="http://schemas.openxmlformats.org/spreadsheetml/2006/main" count="906" uniqueCount="361">
  <si>
    <t>Contents</t>
  </si>
  <si>
    <t>Deaths within 21 days of first dose</t>
  </si>
  <si>
    <t>Source: Office for National Statistics, National Immunisation Management Service</t>
  </si>
  <si>
    <t>Notes:</t>
  </si>
  <si>
    <t>-</t>
  </si>
  <si>
    <t>Male</t>
  </si>
  <si>
    <t>Female</t>
  </si>
  <si>
    <t>Unvaccinated</t>
  </si>
  <si>
    <t>Deaths 21 days or more after first dose</t>
  </si>
  <si>
    <t>Second dose</t>
  </si>
  <si>
    <t>Week ending</t>
  </si>
  <si>
    <t>Week number</t>
  </si>
  <si>
    <t>Number of deaths</t>
  </si>
  <si>
    <t>Population</t>
  </si>
  <si>
    <t>Rate per 100,000 population</t>
  </si>
  <si>
    <t>Lower confidence limit</t>
  </si>
  <si>
    <t>Upper confidence limit</t>
  </si>
  <si>
    <t>:</t>
  </si>
  <si>
    <t>u</t>
  </si>
  <si>
    <t>2. Deaths were defined using the International Classification of Diseases, tenth revision (ICD-10). Deaths involving the coronavirus (COVID-19) are defined as those with an underlying cause, or any mention of, ICD-10 codes U07.1 (COVID-19 virus identified) or U07.2 (COVID-19, virus not identified). Please note, this differs from the definition used in the majority of mortality outputs. Please see Glossary for more information.</t>
  </si>
  <si>
    <t>3. Figures are based on provisional mortality data and the Public Health Data Asset (PHDA), a linked dataset of people resident in England who could be linked to the 2011 Census and GP Patient Register.</t>
  </si>
  <si>
    <t xml:space="preserve">4. The lower and upper 95% confidence limits have been provided. These form a confidence interval, which is a measure of the statistical precision of an estimate and shows the range of uncertainty around the estimated figure. As a general rule, if the confidence interval around one figure overlaps with the interval around another, we cannot say with certainty that there is more than a chance difference between the two figures. </t>
  </si>
  <si>
    <t>5. Rates marked with u are unreliable due to small numbers of deaths.</t>
  </si>
  <si>
    <t>6. : denotes data are not available; age-standardised rates are not provided for categories with fewer than 10 deaths.</t>
  </si>
  <si>
    <t>7. Age and vaccination status are defined on the date of death where a death has occurred, and on the last day of the week if not.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</si>
  <si>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</si>
  <si>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</si>
  <si>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</si>
  <si>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</si>
  <si>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</si>
  <si>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</si>
  <si>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</si>
  <si>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</si>
  <si>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</si>
  <si>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</si>
  <si>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</si>
  <si>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</si>
  <si>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</si>
  <si>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</si>
  <si>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</si>
  <si>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</si>
  <si>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</si>
  <si>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</si>
  <si>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</si>
  <si>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</si>
  <si>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</si>
  <si>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</si>
  <si>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</si>
  <si>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</si>
  <si>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</si>
  <si>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</si>
  <si>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r>
      <t xml:space="preserve">1. Age-standardised mortality rates per 100,000 people, standardised to the 2013 European Standard Population using 5-year age groups form age 10 and over. For more information, see our </t>
    </r>
    <r>
      <rPr>
        <u/>
        <sz val="10"/>
        <color rgb="FF0000FF"/>
        <rFont val="Arial"/>
        <family val="2"/>
      </rPr>
      <t>methodology article</t>
    </r>
    <r>
      <rPr>
        <sz val="10"/>
        <rFont val="Arial"/>
        <family val="2"/>
      </rPr>
      <t>.</t>
    </r>
  </si>
  <si>
    <r>
      <t>8. These figures represent death occurrences, there can be a delay between the date a death occurred and the date a death was registered. More information can be found in our </t>
    </r>
    <r>
      <rPr>
        <u/>
        <sz val="10"/>
        <color rgb="FF0000FF"/>
        <rFont val="Arial"/>
        <family val="2"/>
      </rPr>
      <t>impact of registration delays</t>
    </r>
    <r>
      <rPr>
        <sz val="10"/>
        <rFont val="Arial"/>
        <family val="2"/>
      </rPr>
      <t xml:space="preserve"> release. </t>
    </r>
  </si>
  <si>
    <r>
      <t xml:space="preserve">Table 5: Weekly age-standardised mortality rates by vaccination status for non COVID-19 deaths, per 100,000 people, England, deaths occurring between 2 January 2021 and 2 July 2021 </t>
    </r>
    <r>
      <rPr>
        <b/>
        <vertAlign val="superscript"/>
        <sz val="10"/>
        <color theme="1"/>
        <rFont val="Arial"/>
        <family val="2"/>
      </rPr>
      <t>1,2,3,4,5,6,7,8</t>
    </r>
  </si>
  <si>
    <t>unvaccinated</t>
  </si>
  <si>
    <t>Mortality Rate</t>
  </si>
  <si>
    <t>total</t>
  </si>
  <si>
    <t>Total vaccinated population</t>
  </si>
  <si>
    <t>Weighted Vaccinated Mortality Rate</t>
  </si>
  <si>
    <t>Combined mortality rates from ONS Tables 4 and 5 and weighted vaccinated mortality rate</t>
  </si>
  <si>
    <t>Unvaccinated Mortality Rate</t>
  </si>
  <si>
    <t>Within 21 days mortality rate</t>
  </si>
  <si>
    <t>21 days or more mortality rate</t>
  </si>
  <si>
    <t>Second dose mortality rate</t>
  </si>
  <si>
    <t>Where Table 4 data is not available that category is dropped from the weighted vaccinated mortality rate calculation</t>
  </si>
  <si>
    <t xml:space="preserve">Table 4: Weekly age-standardised mortality rates by vaccination status for deaths involving COVID-19, per 100,000 people, England, deaths occurring between 2 Jan 2021 and 2 July 2021 </t>
  </si>
  <si>
    <t>Total vaccinated</t>
  </si>
  <si>
    <t>Deaths</t>
  </si>
  <si>
    <t>Rate per 100K</t>
  </si>
  <si>
    <t>non covid deaths</t>
  </si>
  <si>
    <t>Vaccinated (at least one does)</t>
  </si>
  <si>
    <t>Raw mortality values per 100k</t>
  </si>
  <si>
    <t>sum population</t>
  </si>
  <si>
    <t>within 21 days</t>
  </si>
  <si>
    <t>21 days or more</t>
  </si>
  <si>
    <t>National life tables, Males</t>
  </si>
  <si>
    <t>age</t>
  </si>
  <si>
    <t>mx</t>
  </si>
  <si>
    <t>National life tables, Females</t>
  </si>
  <si>
    <t>average</t>
  </si>
  <si>
    <t>Years 2017-2019</t>
  </si>
  <si>
    <t xml:space="preserve">covid </t>
  </si>
  <si>
    <t>Age Groups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</si>
  <si>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</si>
  <si>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</si>
  <si>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</si>
  <si>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</si>
  <si>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</si>
  <si>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</si>
  <si>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</si>
  <si>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</si>
  <si>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</si>
  <si>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</si>
  <si>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</si>
  <si>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</si>
  <si>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</si>
  <si>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</si>
  <si>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</si>
  <si>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</si>
  <si>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</si>
  <si>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</si>
  <si>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 and over</t>
  </si>
  <si>
    <t>England</t>
  </si>
  <si>
    <t>2 dose</t>
  </si>
  <si>
    <t>Age</t>
  </si>
  <si>
    <t>Total</t>
  </si>
  <si>
    <t>1 dose</t>
  </si>
  <si>
    <t>July 2020 Age Bands</t>
  </si>
  <si>
    <t>div 52</t>
  </si>
  <si>
    <t>Mean age calculations</t>
  </si>
  <si>
    <t>Total except 10 and under</t>
  </si>
  <si>
    <t>&lt;1</t>
  </si>
  <si>
    <t>01-04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</si>
  <si>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</si>
  <si>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</si>
  <si>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</si>
  <si>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</si>
  <si>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</si>
  <si>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</si>
  <si>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</si>
  <si>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</si>
  <si>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</si>
  <si>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</si>
  <si>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</si>
  <si>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</si>
  <si>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</si>
  <si>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</si>
  <si>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</si>
  <si>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</si>
  <si>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</si>
  <si>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</si>
  <si>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95+</t>
  </si>
  <si>
    <t>1 Dose</t>
  </si>
  <si>
    <t>2 Dose</t>
  </si>
  <si>
    <t>Age lower</t>
  </si>
  <si>
    <t>Age upper</t>
  </si>
  <si>
    <t>ASMR</t>
  </si>
  <si>
    <t>Week 26</t>
  </si>
  <si>
    <t>All</t>
  </si>
  <si>
    <t>0-1</t>
  </si>
  <si>
    <t>1-4</t>
  </si>
  <si>
    <t>5-9</t>
  </si>
  <si>
    <t>90+</t>
  </si>
  <si>
    <t>All ages</t>
  </si>
  <si>
    <t>Adjusted for England</t>
  </si>
  <si>
    <t>Data England and Wales</t>
  </si>
  <si>
    <t>LB</t>
  </si>
  <si>
    <t>UB</t>
  </si>
  <si>
    <t>Mid</t>
  </si>
  <si>
    <t>Wales</t>
  </si>
  <si>
    <t>Week Number</t>
  </si>
  <si>
    <t>Week Ending</t>
  </si>
  <si>
    <t>Over 80</t>
  </si>
  <si>
    <t>75 to under 80</t>
  </si>
  <si>
    <t>70 to under 75</t>
  </si>
  <si>
    <t>65 to under 70</t>
  </si>
  <si>
    <t>60 to under 65</t>
  </si>
  <si>
    <t>55 to under 60</t>
  </si>
  <si>
    <t>50 to under 55</t>
  </si>
  <si>
    <t>45 to under 50</t>
  </si>
  <si>
    <t>40 to under 45</t>
  </si>
  <si>
    <t>Under 40</t>
  </si>
  <si>
    <t>35 to under 40</t>
  </si>
  <si>
    <t>30 to under 35</t>
  </si>
  <si>
    <t>25 to under 30</t>
  </si>
  <si>
    <t>18 to under 25</t>
  </si>
  <si>
    <t>Under 18</t>
  </si>
  <si>
    <t>People In NIMS Cohort</t>
  </si>
  <si>
    <t>Number Vaccinated (at least 1 dose)</t>
  </si>
  <si>
    <t>% Vaccine Uptake Dose 1</t>
  </si>
  <si>
    <t>Number Vaccinated (2 Doses)</t>
  </si>
  <si>
    <t>% Vaccine Uptake Dose 2</t>
  </si>
  <si>
    <t>Cohort</t>
  </si>
  <si>
    <t>Percentage 1 dose</t>
  </si>
  <si>
    <t>Percentage 2 dose</t>
  </si>
  <si>
    <t>Percentage unvaccinated</t>
  </si>
  <si>
    <t>England Total</t>
  </si>
  <si>
    <t>Risk ratio 2 dose</t>
  </si>
  <si>
    <t>Risk Ratio 1 dose</t>
  </si>
  <si>
    <t>Ratio Actual to Expected</t>
  </si>
  <si>
    <t>https://api.coronavirus.data.gov.uk/v2/data?areaType=nation&amp;areaCode=E92000001&amp;metric=vaccinationsAgeDemographics&amp;format=csv</t>
  </si>
  <si>
    <t>areaCode</t>
  </si>
  <si>
    <t>areaName</t>
  </si>
  <si>
    <t>areaType</t>
  </si>
  <si>
    <t>date</t>
  </si>
  <si>
    <t>VaccineRegisterPopulationByVaccinationDate</t>
  </si>
  <si>
    <t>cumPeopleVaccinatedCompleteByVaccinationDate</t>
  </si>
  <si>
    <t>newPeopleVaccinatedCompleteByVaccinationDate</t>
  </si>
  <si>
    <t>cumPeopleVaccinatedFirstDoseByVaccinationDate</t>
  </si>
  <si>
    <t>newPeopleVaccinatedFirstDoseByVaccinationDate</t>
  </si>
  <si>
    <t>cumPeopleVaccinatedSecondDoseByVaccinationDate</t>
  </si>
  <si>
    <t>newPeopleVaccinatedSecondDoseByVaccinationDate</t>
  </si>
  <si>
    <t>cumVaccinationFirstDoseUptakeByVaccinationDatePercentage</t>
  </si>
  <si>
    <t>cumVaccinationCompleteCoverageByVaccinationDatePercentage</t>
  </si>
  <si>
    <t>cumVaccinationSecondDoseUptakeByVaccinationDatePercentage</t>
  </si>
  <si>
    <t>E92000001</t>
  </si>
  <si>
    <t>nation</t>
  </si>
  <si>
    <t>16_17</t>
  </si>
  <si>
    <t>18_24</t>
  </si>
  <si>
    <t>25_29</t>
  </si>
  <si>
    <t>30_34</t>
  </si>
  <si>
    <t>35_39</t>
  </si>
  <si>
    <t>40_44</t>
  </si>
  <si>
    <t>45_49</t>
  </si>
  <si>
    <t>50_54</t>
  </si>
  <si>
    <t>55_59</t>
  </si>
  <si>
    <t>60_64</t>
  </si>
  <si>
    <t>65_69</t>
  </si>
  <si>
    <t>70_74</t>
  </si>
  <si>
    <t>75_79</t>
  </si>
  <si>
    <t>80_84</t>
  </si>
  <si>
    <t>85_89</t>
  </si>
  <si>
    <t>Difference with NIMS</t>
  </si>
  <si>
    <t>Dose 1 %</t>
  </si>
  <si>
    <t>Dose 2 %</t>
  </si>
  <si>
    <t>NIMS pop</t>
  </si>
  <si>
    <t>European Age Category</t>
  </si>
  <si>
    <t>Age mid</t>
  </si>
  <si>
    <t>Totals</t>
  </si>
  <si>
    <t>Grand total</t>
  </si>
  <si>
    <t>Estimated deaths (pro rated to 39m)</t>
  </si>
  <si>
    <t>European Age Specific Mortality (100k)</t>
  </si>
  <si>
    <t>Life Table Mortality Rate</t>
  </si>
  <si>
    <t>Mortality Rate Difference with life tables</t>
  </si>
  <si>
    <t>Adjusted European Age Category</t>
  </si>
  <si>
    <t>ASMR from ONS</t>
  </si>
  <si>
    <t>European Age Standardised Mortality (ASMR)</t>
  </si>
  <si>
    <t>All vaccinated</t>
  </si>
  <si>
    <t>1 or 2 Dose</t>
  </si>
  <si>
    <t>Risk Ratios (vs unvaccinated)</t>
  </si>
  <si>
    <t>Risk Ratio 1 or 2 dose</t>
  </si>
  <si>
    <t>2 dose %</t>
  </si>
  <si>
    <t>1 dose %</t>
  </si>
  <si>
    <t>1 or 2 %</t>
  </si>
  <si>
    <t>Total (excluding &lt;10)</t>
  </si>
  <si>
    <t>From ONS Table 5</t>
  </si>
  <si>
    <t>Mean Age</t>
  </si>
  <si>
    <t>Median Age ONS Figure 2</t>
  </si>
  <si>
    <t>NIMS vaccination percentages and population</t>
  </si>
  <si>
    <t>NIMS pro-rated to England over 10s</t>
  </si>
  <si>
    <t>Population level adjustements</t>
  </si>
  <si>
    <t>Total  (excluding &lt;10) Pro-rated to Table 5 total</t>
  </si>
  <si>
    <t>Actual ONS deaths</t>
  </si>
  <si>
    <t>Expected deaths from ONS Week 26 deaths</t>
  </si>
  <si>
    <t>Pro rated to 39m</t>
  </si>
  <si>
    <t>Grand Total</t>
  </si>
  <si>
    <t>ONS Table 4 and 5 death totals</t>
  </si>
  <si>
    <t>Risk Ratio vs unvaccinated</t>
  </si>
  <si>
    <t>Deaths pro rated to ONS Table 5 population (39m)</t>
  </si>
  <si>
    <t>ratio vacc/unvacc</t>
  </si>
  <si>
    <t>Rate per 100k</t>
  </si>
  <si>
    <t>covid deaths</t>
  </si>
  <si>
    <t>population</t>
  </si>
  <si>
    <t>All-cause deaths</t>
  </si>
  <si>
    <t>Mortality rate (m)</t>
  </si>
  <si>
    <t>Percentage Covid-19 deaths</t>
  </si>
  <si>
    <t>Within 21 days</t>
  </si>
  <si>
    <t>Over 10</t>
  </si>
  <si>
    <t>Expected to ONS Table 4 and 5 death totals (39m) pro-rated</t>
  </si>
  <si>
    <t>over 80</t>
  </si>
  <si>
    <t>18-24</t>
  </si>
  <si>
    <t>17 and under</t>
  </si>
  <si>
    <t>Re categorised</t>
  </si>
  <si>
    <t>0-9</t>
  </si>
  <si>
    <t>ONS England</t>
  </si>
  <si>
    <t>10-17</t>
  </si>
  <si>
    <t>Population totals for England*</t>
  </si>
  <si>
    <t>* the highlighted cells are calculated differently because the % vaccinated must be distributed over the population age groups</t>
  </si>
  <si>
    <t>[1] Public Health England/Office for National Statistics (PHE/ONS). Age-standardised mortality rates for deaths by vaccination status, England: deaths occurring between 2 January and 2 July 2021. https://www.ons.gov.uk/file?uri=%2fpeoplepopulationandcommunity%2fbirthsdeathsandmarriages%2fdeaths%2fdatasets%2fdeathsbyvaccinationstatusengland%2fdeathsoccurringbetween2januaryand2july2021/dataset.xlsx</t>
  </si>
  <si>
    <t>European Age Categories</t>
  </si>
  <si>
    <t>https://webarchive.nationalarchives.gov.uk/ukgwa/20160106020035/http:/www.ons.gov.uk/ons/guide-method/user-guidance/health-and-life-events/revised-european-standard-population-2013--2013-esp-/index.html</t>
  </si>
  <si>
    <t>https://www.gov.uk/government/statistics/national-flu-and-covid-19-surveillance-reports</t>
  </si>
  <si>
    <t>https://www.ons.gov.uk/peoplepopulationandcommunity/populationandmigration/populationestimates/bulletins/annualmidyearpopulationestimates/mid2020</t>
  </si>
  <si>
    <t>https://www.ons.gov.uk/peoplepopulationandcommunity/birthsdeathsandmarriages/lifeexpectancies/datasets/nationallifetablesenglandreferencetables</t>
  </si>
  <si>
    <t>PHE/ONS mortality</t>
  </si>
  <si>
    <t>NIMS vaccine survey</t>
  </si>
  <si>
    <t>ONS population survey</t>
  </si>
  <si>
    <t>ONS registered deaths</t>
  </si>
  <si>
    <t>Difference</t>
  </si>
  <si>
    <t>Life Table Mortality Rate (100k)</t>
  </si>
  <si>
    <t>Area of usual residence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</si>
  <si>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</si>
  <si>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</si>
  <si>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</si>
  <si>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</si>
  <si>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</si>
  <si>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</si>
  <si>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</si>
  <si>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</si>
  <si>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</si>
  <si>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</si>
  <si>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</si>
  <si>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</si>
  <si>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ENGLAND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</si>
  <si>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</si>
  <si>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</si>
  <si>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</si>
  <si>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</si>
  <si>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</si>
  <si>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</si>
  <si>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</si>
  <si>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</si>
  <si>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</si>
  <si>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</si>
  <si>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</si>
  <si>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</si>
  <si>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</si>
  <si>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</si>
  <si>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</si>
  <si>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</si>
  <si>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</si>
  <si>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</si>
  <si>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</si>
  <si>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</si>
  <si>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r>
      <rPr>
        <sz val="10"/>
        <rFont val="Arial"/>
        <family val="2"/>
      </rPr>
      <t>Sep-19</t>
    </r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</si>
  <si>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</si>
  <si>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</si>
  <si>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</si>
  <si>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</si>
  <si>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</si>
  <si>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</si>
  <si>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</si>
  <si>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</si>
  <si>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</si>
  <si>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</si>
  <si>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</si>
  <si>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r>
      <rPr>
        <sz val="10"/>
        <rFont val="Arial"/>
        <family val="2"/>
      </rPr>
      <t>Sep-20</t>
    </r>
  </si>
  <si>
    <t>Oct-20</t>
  </si>
  <si>
    <t>Nov-20</t>
  </si>
  <si>
    <t>Dec-20</t>
  </si>
  <si>
    <r>
      <t>Jan-21</t>
    </r>
    <r>
      <rPr>
        <vertAlign val="superscript"/>
        <sz val="10"/>
        <rFont val="Arial"/>
        <family val="2"/>
      </rPr>
      <t>2</t>
    </r>
  </si>
  <si>
    <r>
      <t>Feb-21</t>
    </r>
    <r>
      <rPr>
        <vertAlign val="superscript"/>
        <sz val="10"/>
        <rFont val="Arial"/>
        <family val="2"/>
      </rPr>
      <t>2</t>
    </r>
  </si>
  <si>
    <r>
      <t>Mar-21</t>
    </r>
    <r>
      <rPr>
        <vertAlign val="superscript"/>
        <sz val="10"/>
        <rFont val="Arial"/>
        <family val="2"/>
      </rPr>
      <t>2</t>
    </r>
  </si>
  <si>
    <r>
      <t>Apr-21</t>
    </r>
    <r>
      <rPr>
        <vertAlign val="superscript"/>
        <sz val="10"/>
        <rFont val="Arial"/>
        <family val="2"/>
      </rPr>
      <t>2</t>
    </r>
  </si>
  <si>
    <r>
      <t>May-21</t>
    </r>
    <r>
      <rPr>
        <vertAlign val="superscript"/>
        <sz val="10"/>
        <rFont val="Arial"/>
        <family val="2"/>
      </rPr>
      <t>2</t>
    </r>
  </si>
  <si>
    <r>
      <t>Jun-21</t>
    </r>
    <r>
      <rPr>
        <vertAlign val="superscript"/>
        <sz val="10"/>
        <rFont val="Arial"/>
        <family val="2"/>
      </rPr>
      <t>2</t>
    </r>
  </si>
  <si>
    <r>
      <t>Jul-21</t>
    </r>
    <r>
      <rPr>
        <vertAlign val="superscript"/>
        <sz val="10"/>
        <rFont val="Arial"/>
        <family val="2"/>
      </rPr>
      <t>2</t>
    </r>
  </si>
  <si>
    <r>
      <t>Aug-21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</si>
  <si>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Sep-21</t>
    </r>
    <r>
      <rPr>
        <vertAlign val="superscript"/>
        <sz val="10"/>
        <rFont val="Arial"/>
        <family val="2"/>
      </rPr>
      <t>2</t>
    </r>
  </si>
  <si>
    <r>
      <t>Oct-21</t>
    </r>
    <r>
      <rPr>
        <vertAlign val="superscript"/>
        <sz val="10"/>
        <rFont val="Arial"/>
        <family val="2"/>
      </rPr>
      <t>2</t>
    </r>
  </si>
  <si>
    <r>
      <t>Nov-21</t>
    </r>
    <r>
      <rPr>
        <vertAlign val="superscript"/>
        <sz val="10"/>
        <rFont val="Arial"/>
        <family val="2"/>
      </rPr>
      <t>2</t>
    </r>
  </si>
  <si>
    <r>
      <t>Dec-21</t>
    </r>
    <r>
      <rPr>
        <vertAlign val="superscript"/>
        <sz val="10"/>
        <rFont val="Arial"/>
        <family val="2"/>
      </rPr>
      <t>2</t>
    </r>
  </si>
  <si>
    <t>May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</si>
  <si>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</si>
  <si>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</si>
  <si>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</si>
  <si>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</si>
  <si>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</si>
  <si>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</si>
  <si>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</si>
  <si>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</si>
  <si>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</si>
  <si>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</si>
  <si>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</si>
  <si>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</si>
  <si>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Average 2017-2019</t>
  </si>
  <si>
    <t>%</t>
  </si>
  <si>
    <t>Dev</t>
  </si>
  <si>
    <t>Average 2021</t>
  </si>
  <si>
    <t>https://www.ons.gov.uk/peoplepopulationandcommunity/birthsdeathsandmarriages/deaths/datasets/monthlyfiguresondeathsregisteredbyareaofusualresidence</t>
  </si>
  <si>
    <t>Average 2021 compared with 2017-2019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</si>
</sst>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#,##0.0"/>
    <numFmt numFmtId="166" formatCode="0.0"/>
    <numFmt numFmtId="167" formatCode="0.000000"/>
    <numFmt numFmtId="168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indexed="3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rgb="FF00000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Helv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.5"/>
      <color rgb="FF000000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9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2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4" fontId="2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2" fillId="0" borderId="0"/>
    <xf numFmtId="0" fontId="8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/>
    <xf numFmtId="164" fontId="2" fillId="0" borderId="0"/>
    <xf numFmtId="0" fontId="3" fillId="0" borderId="0"/>
    <xf numFmtId="0" fontId="8" fillId="0" borderId="0"/>
    <xf numFmtId="0" fontId="7" fillId="0" borderId="0" applyNumberFormat="0" applyFill="0" applyBorder="0" applyAlignment="0" applyProtection="0"/>
    <xf numFmtId="0" fontId="5" fillId="0" borderId="0"/>
    <xf numFmtId="0" fontId="3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21" borderId="3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21" borderId="32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21" borderId="32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21" borderId="32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40">
    <xf numFmtId="0" fontId="0" fillId="0" borderId="0" xfId="0"/>
    <xf numFmtId="0" fontId="0" fillId="0" borderId="0" xfId="0"/>
    <xf numFmtId="0" fontId="12" fillId="0" borderId="0" xfId="0" applyFont="1"/>
    <xf numFmtId="0" fontId="5" fillId="0" borderId="0" xfId="0" applyFont="1"/>
    <xf numFmtId="0" fontId="1" fillId="2" borderId="0" xfId="7" applyFont="1" applyFill="1"/>
    <xf numFmtId="0" fontId="5" fillId="0" borderId="0" xfId="0" applyFont="1" applyAlignment="1">
      <alignment horizontal="left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0" xfId="0" applyFont="1" applyBorder="1" applyAlignment="1">
      <alignment horizontal="right" wrapText="1"/>
    </xf>
    <xf numFmtId="165" fontId="11" fillId="0" borderId="10" xfId="0" applyNumberFormat="1" applyFont="1" applyBorder="1" applyAlignment="1">
      <alignment horizontal="right" wrapText="1"/>
    </xf>
    <xf numFmtId="165" fontId="11" fillId="0" borderId="10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right" wrapText="1"/>
    </xf>
    <xf numFmtId="15" fontId="3" fillId="0" borderId="6" xfId="2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6" fontId="5" fillId="0" borderId="2" xfId="0" applyNumberFormat="1" applyFont="1" applyBorder="1"/>
    <xf numFmtId="166" fontId="5" fillId="0" borderId="0" xfId="0" applyNumberFormat="1" applyFont="1"/>
    <xf numFmtId="15" fontId="3" fillId="0" borderId="3" xfId="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14" applyNumberFormat="1" applyFont="1" applyFill="1" applyBorder="1"/>
    <xf numFmtId="15" fontId="3" fillId="0" borderId="4" xfId="2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6" fontId="5" fillId="0" borderId="1" xfId="0" applyNumberFormat="1" applyFont="1" applyBorder="1"/>
    <xf numFmtId="3" fontId="5" fillId="0" borderId="0" xfId="0" applyNumberFormat="1" applyFont="1"/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5" fillId="0" borderId="0" xfId="1" applyFont="1" applyAlignment="1" applyProtection="1">
      <alignment vertical="top"/>
    </xf>
    <xf numFmtId="0" fontId="5" fillId="0" borderId="0" xfId="7" applyFont="1" applyAlignment="1">
      <alignment vertical="top"/>
    </xf>
    <xf numFmtId="0" fontId="5" fillId="0" borderId="0" xfId="7" applyFont="1" applyFill="1" applyAlignment="1" applyProtection="1">
      <alignment vertical="top"/>
    </xf>
    <xf numFmtId="0" fontId="5" fillId="0" borderId="0" xfId="7" applyFont="1" applyFill="1" applyAlignment="1" applyProtection="1">
      <alignment vertical="top" wrapText="1"/>
    </xf>
    <xf numFmtId="15" fontId="3" fillId="0" borderId="0" xfId="2" applyNumberFormat="1" applyFont="1" applyAlignment="1">
      <alignment horizontal="right"/>
    </xf>
    <xf numFmtId="2" fontId="5" fillId="0" borderId="0" xfId="0" applyNumberFormat="1" applyFont="1" applyAlignment="1">
      <alignment horizontal="left" vertical="center"/>
    </xf>
    <xf numFmtId="164" fontId="3" fillId="0" borderId="0" xfId="2" applyFont="1" applyAlignment="1">
      <alignment wrapText="1"/>
    </xf>
    <xf numFmtId="164" fontId="3" fillId="0" borderId="0" xfId="2" applyFont="1" applyAlignment="1">
      <alignment horizontal="right"/>
    </xf>
    <xf numFmtId="3" fontId="3" fillId="0" borderId="0" xfId="2" applyNumberFormat="1" applyFont="1"/>
    <xf numFmtId="164" fontId="3" fillId="0" borderId="0" xfId="2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13" applyFont="1" applyAlignment="1">
      <alignment vertical="center"/>
    </xf>
    <xf numFmtId="0" fontId="11" fillId="0" borderId="0" xfId="0" applyFont="1"/>
    <xf numFmtId="0" fontId="5" fillId="0" borderId="14" xfId="0" applyFont="1" applyBorder="1"/>
    <xf numFmtId="0" fontId="5" fillId="0" borderId="1" xfId="0" applyFont="1" applyBorder="1"/>
    <xf numFmtId="2" fontId="5" fillId="0" borderId="2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5" fillId="0" borderId="0" xfId="1" applyFont="1" applyAlignment="1" applyProtection="1">
      <alignment vertical="top" wrapText="1"/>
    </xf>
    <xf numFmtId="0" fontId="15" fillId="0" borderId="2" xfId="0" applyFont="1" applyBorder="1" applyAlignment="1"/>
    <xf numFmtId="3" fontId="12" fillId="0" borderId="2" xfId="0" applyNumberFormat="1" applyFont="1" applyBorder="1"/>
    <xf numFmtId="166" fontId="12" fillId="0" borderId="2" xfId="0" applyNumberFormat="1" applyFont="1" applyBorder="1"/>
    <xf numFmtId="3" fontId="12" fillId="0" borderId="0" xfId="0" applyNumberFormat="1" applyFont="1"/>
    <xf numFmtId="166" fontId="12" fillId="0" borderId="0" xfId="0" applyNumberFormat="1" applyFont="1"/>
    <xf numFmtId="3" fontId="12" fillId="0" borderId="1" xfId="0" applyNumberFormat="1" applyFont="1" applyBorder="1"/>
    <xf numFmtId="166" fontId="12" fillId="0" borderId="1" xfId="0" applyNumberFormat="1" applyFont="1" applyBorder="1"/>
    <xf numFmtId="0" fontId="1" fillId="0" borderId="0" xfId="1" applyFont="1" applyAlignment="1" applyProtection="1">
      <alignment vertical="top" wrapText="1"/>
    </xf>
    <xf numFmtId="0" fontId="1" fillId="0" borderId="0" xfId="1" applyFont="1" applyAlignment="1" applyProtection="1">
      <alignment vertical="top"/>
    </xf>
    <xf numFmtId="3" fontId="12" fillId="0" borderId="6" xfId="0" applyNumberFormat="1" applyFont="1" applyBorder="1"/>
    <xf numFmtId="166" fontId="12" fillId="0" borderId="2" xfId="0" applyNumberFormat="1" applyFont="1" applyBorder="1" applyAlignment="1">
      <alignment horizontal="right"/>
    </xf>
    <xf numFmtId="166" fontId="12" fillId="0" borderId="7" xfId="0" applyNumberFormat="1" applyFont="1" applyBorder="1" applyAlignment="1">
      <alignment horizontal="right"/>
    </xf>
    <xf numFmtId="3" fontId="12" fillId="0" borderId="3" xfId="0" applyNumberFormat="1" applyFont="1" applyBorder="1"/>
    <xf numFmtId="166" fontId="12" fillId="0" borderId="12" xfId="0" applyNumberFormat="1" applyFont="1" applyBorder="1"/>
    <xf numFmtId="166" fontId="12" fillId="0" borderId="0" xfId="0" applyNumberFormat="1" applyFont="1" applyAlignment="1">
      <alignment horizontal="right"/>
    </xf>
    <xf numFmtId="166" fontId="12" fillId="0" borderId="12" xfId="0" applyNumberFormat="1" applyFont="1" applyBorder="1" applyAlignment="1">
      <alignment horizontal="right"/>
    </xf>
    <xf numFmtId="3" fontId="12" fillId="0" borderId="4" xfId="0" applyNumberFormat="1" applyFont="1" applyBorder="1"/>
    <xf numFmtId="166" fontId="12" fillId="0" borderId="1" xfId="0" applyNumberFormat="1" applyFont="1" applyBorder="1" applyAlignment="1">
      <alignment horizontal="right"/>
    </xf>
    <xf numFmtId="166" fontId="12" fillId="0" borderId="13" xfId="0" applyNumberFormat="1" applyFont="1" applyBorder="1"/>
    <xf numFmtId="0" fontId="17" fillId="2" borderId="0" xfId="0" applyFont="1" applyFill="1"/>
    <xf numFmtId="0" fontId="12" fillId="2" borderId="0" xfId="0" applyFont="1" applyFill="1"/>
    <xf numFmtId="3" fontId="0" fillId="0" borderId="0" xfId="0" applyNumberFormat="1"/>
    <xf numFmtId="165" fontId="11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/>
    <xf numFmtId="3" fontId="12" fillId="0" borderId="5" xfId="0" applyNumberFormat="1" applyFont="1" applyBorder="1"/>
    <xf numFmtId="166" fontId="12" fillId="0" borderId="10" xfId="0" applyNumberFormat="1" applyFont="1" applyBorder="1"/>
    <xf numFmtId="3" fontId="12" fillId="0" borderId="10" xfId="0" applyNumberFormat="1" applyFont="1" applyBorder="1"/>
    <xf numFmtId="166" fontId="12" fillId="0" borderId="10" xfId="0" applyNumberFormat="1" applyFont="1" applyBorder="1" applyAlignment="1">
      <alignment horizontal="right"/>
    </xf>
    <xf numFmtId="0" fontId="11" fillId="0" borderId="7" xfId="0" applyFont="1" applyFill="1" applyBorder="1" applyAlignment="1">
      <alignment horizontal="right" wrapText="1"/>
    </xf>
    <xf numFmtId="166" fontId="12" fillId="0" borderId="11" xfId="0" applyNumberFormat="1" applyFont="1" applyBorder="1" applyAlignment="1">
      <alignment horizontal="right"/>
    </xf>
    <xf numFmtId="0" fontId="20" fillId="0" borderId="0" xfId="0" applyFont="1"/>
    <xf numFmtId="165" fontId="11" fillId="0" borderId="0" xfId="0" applyNumberFormat="1" applyFont="1" applyAlignment="1">
      <alignment horizontal="righ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0" fillId="3" borderId="0" xfId="0" applyFill="1"/>
    <xf numFmtId="0" fontId="0" fillId="8" borderId="0" xfId="0" applyFill="1"/>
    <xf numFmtId="1" fontId="0" fillId="8" borderId="0" xfId="0" applyNumberFormat="1" applyFill="1"/>
    <xf numFmtId="1" fontId="0" fillId="0" borderId="0" xfId="0" applyNumberFormat="1"/>
    <xf numFmtId="0" fontId="21" fillId="0" borderId="0" xfId="0" applyFont="1"/>
    <xf numFmtId="0" fontId="13" fillId="0" borderId="15" xfId="0" applyFont="1" applyBorder="1" applyAlignment="1">
      <alignment horizontal="center" vertical="center"/>
    </xf>
    <xf numFmtId="167" fontId="0" fillId="0" borderId="0" xfId="0" applyNumberFormat="1"/>
    <xf numFmtId="0" fontId="13" fillId="0" borderId="0" xfId="0" applyFont="1" applyFill="1" applyBorder="1" applyAlignment="1">
      <alignment horizontal="center" vertical="center"/>
    </xf>
    <xf numFmtId="0" fontId="7" fillId="0" borderId="0" xfId="7"/>
    <xf numFmtId="9" fontId="0" fillId="0" borderId="0" xfId="0" applyNumberFormat="1"/>
    <xf numFmtId="0" fontId="19" fillId="0" borderId="0" xfId="0" applyFont="1"/>
    <xf numFmtId="3" fontId="19" fillId="0" borderId="0" xfId="0" applyNumberFormat="1" applyFont="1"/>
    <xf numFmtId="0" fontId="19" fillId="2" borderId="0" xfId="0" applyFont="1" applyFill="1"/>
    <xf numFmtId="3" fontId="19" fillId="2" borderId="0" xfId="0" applyNumberFormat="1" applyFont="1" applyFill="1"/>
    <xf numFmtId="3" fontId="20" fillId="0" borderId="0" xfId="0" applyNumberFormat="1" applyFont="1"/>
    <xf numFmtId="11" fontId="0" fillId="0" borderId="0" xfId="0" applyNumberFormat="1"/>
    <xf numFmtId="2" fontId="0" fillId="0" borderId="0" xfId="0" applyNumberFormat="1"/>
    <xf numFmtId="2" fontId="20" fillId="0" borderId="0" xfId="0" applyNumberFormat="1" applyFont="1"/>
    <xf numFmtId="0" fontId="0" fillId="0" borderId="0" xfId="0" applyFont="1"/>
    <xf numFmtId="1" fontId="0" fillId="0" borderId="0" xfId="0" applyNumberFormat="1" applyFont="1"/>
    <xf numFmtId="1" fontId="20" fillId="0" borderId="0" xfId="0" applyNumberFormat="1" applyFont="1"/>
    <xf numFmtId="0" fontId="23" fillId="9" borderId="21" xfId="0" applyFont="1" applyFill="1" applyBorder="1" applyAlignment="1">
      <alignment horizontal="center" vertical="center" wrapText="1"/>
    </xf>
    <xf numFmtId="0" fontId="23" fillId="9" borderId="22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14" fontId="24" fillId="0" borderId="23" xfId="0" applyNumberFormat="1" applyFont="1" applyBorder="1" applyAlignment="1">
      <alignment horizontal="center" vertical="center"/>
    </xf>
    <xf numFmtId="168" fontId="24" fillId="0" borderId="24" xfId="14" applyNumberFormat="1" applyFont="1" applyBorder="1" applyAlignment="1">
      <alignment horizontal="center" vertical="center"/>
    </xf>
    <xf numFmtId="168" fontId="24" fillId="0" borderId="25" xfId="14" applyNumberFormat="1" applyFont="1" applyBorder="1" applyAlignment="1">
      <alignment horizontal="center" vertical="center"/>
    </xf>
    <xf numFmtId="166" fontId="24" fillId="0" borderId="25" xfId="0" applyNumberFormat="1" applyFont="1" applyBorder="1" applyAlignment="1">
      <alignment horizontal="center" vertical="center"/>
    </xf>
    <xf numFmtId="166" fontId="24" fillId="0" borderId="26" xfId="0" applyNumberFormat="1" applyFont="1" applyBorder="1" applyAlignment="1">
      <alignment horizontal="center" vertical="center"/>
    </xf>
    <xf numFmtId="168" fontId="24" fillId="0" borderId="27" xfId="14" applyNumberFormat="1" applyFont="1" applyBorder="1" applyAlignment="1">
      <alignment horizontal="center" vertical="center"/>
    </xf>
    <xf numFmtId="168" fontId="24" fillId="0" borderId="12" xfId="14" applyNumberFormat="1" applyFont="1" applyBorder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168" fontId="25" fillId="0" borderId="27" xfId="14" applyNumberFormat="1" applyFont="1" applyBorder="1" applyAlignment="1">
      <alignment horizontal="center" vertical="center"/>
    </xf>
    <xf numFmtId="168" fontId="25" fillId="0" borderId="12" xfId="14" applyNumberFormat="1" applyFont="1" applyBorder="1" applyAlignment="1">
      <alignment horizontal="center" vertical="center"/>
    </xf>
    <xf numFmtId="166" fontId="25" fillId="0" borderId="12" xfId="0" applyNumberFormat="1" applyFont="1" applyBorder="1" applyAlignment="1">
      <alignment horizontal="center" vertical="center"/>
    </xf>
    <xf numFmtId="166" fontId="25" fillId="0" borderId="28" xfId="0" applyNumberFormat="1" applyFont="1" applyBorder="1" applyAlignment="1">
      <alignment horizontal="center" vertical="center"/>
    </xf>
    <xf numFmtId="168" fontId="0" fillId="0" borderId="0" xfId="0" applyNumberFormat="1"/>
    <xf numFmtId="0" fontId="24" fillId="3" borderId="20" xfId="0" applyFont="1" applyFill="1" applyBorder="1" applyAlignment="1">
      <alignment horizontal="center" vertical="center"/>
    </xf>
    <xf numFmtId="14" fontId="24" fillId="3" borderId="20" xfId="0" applyNumberFormat="1" applyFont="1" applyFill="1" applyBorder="1" applyAlignment="1">
      <alignment horizontal="center" vertical="center"/>
    </xf>
    <xf numFmtId="168" fontId="25" fillId="3" borderId="29" xfId="14" applyNumberFormat="1" applyFont="1" applyFill="1" applyBorder="1" applyAlignment="1">
      <alignment horizontal="center" vertical="center"/>
    </xf>
    <xf numFmtId="168" fontId="25" fillId="3" borderId="30" xfId="14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0" fontId="0" fillId="0" borderId="0" xfId="0" applyNumberFormat="1"/>
    <xf numFmtId="3" fontId="0" fillId="3" borderId="0" xfId="0" applyNumberFormat="1" applyFill="1"/>
    <xf numFmtId="0" fontId="26" fillId="0" borderId="0" xfId="0" applyFont="1"/>
    <xf numFmtId="0" fontId="0" fillId="2" borderId="0" xfId="0" applyFill="1"/>
    <xf numFmtId="0" fontId="20" fillId="10" borderId="0" xfId="0" applyFont="1" applyFill="1"/>
    <xf numFmtId="11" fontId="0" fillId="10" borderId="0" xfId="0" applyNumberFormat="1" applyFill="1"/>
    <xf numFmtId="3" fontId="20" fillId="10" borderId="0" xfId="0" applyNumberFormat="1" applyFont="1" applyFill="1"/>
    <xf numFmtId="3" fontId="0" fillId="10" borderId="0" xfId="0" applyNumberFormat="1" applyFill="1"/>
    <xf numFmtId="3" fontId="20" fillId="0" borderId="0" xfId="0" applyNumberFormat="1" applyFont="1" applyAlignment="1">
      <alignment horizontal="left"/>
    </xf>
    <xf numFmtId="0" fontId="20" fillId="4" borderId="0" xfId="0" applyFont="1" applyFill="1"/>
    <xf numFmtId="3" fontId="0" fillId="4" borderId="0" xfId="0" applyNumberFormat="1" applyFill="1"/>
    <xf numFmtId="3" fontId="20" fillId="4" borderId="0" xfId="0" applyNumberFormat="1" applyFont="1" applyFill="1"/>
    <xf numFmtId="3" fontId="0" fillId="11" borderId="0" xfId="0" applyNumberFormat="1" applyFill="1"/>
    <xf numFmtId="3" fontId="20" fillId="11" borderId="0" xfId="0" applyNumberFormat="1" applyFont="1" applyFill="1"/>
    <xf numFmtId="0" fontId="20" fillId="12" borderId="0" xfId="0" applyFont="1" applyFill="1"/>
    <xf numFmtId="3" fontId="20" fillId="12" borderId="0" xfId="0" applyNumberFormat="1" applyFont="1" applyFill="1"/>
    <xf numFmtId="3" fontId="0" fillId="12" borderId="0" xfId="0" applyNumberFormat="1" applyFill="1"/>
    <xf numFmtId="3" fontId="20" fillId="12" borderId="0" xfId="0" applyNumberFormat="1" applyFont="1" applyFill="1" applyAlignment="1">
      <alignment horizontal="right"/>
    </xf>
    <xf numFmtId="0" fontId="20" fillId="7" borderId="0" xfId="0" applyFont="1" applyFill="1"/>
    <xf numFmtId="2" fontId="0" fillId="12" borderId="0" xfId="0" applyNumberFormat="1" applyFill="1"/>
    <xf numFmtId="9" fontId="0" fillId="7" borderId="0" xfId="0" applyNumberFormat="1" applyFill="1"/>
    <xf numFmtId="0" fontId="20" fillId="11" borderId="0" xfId="0" applyFont="1" applyFill="1" applyAlignment="1">
      <alignment horizontal="center"/>
    </xf>
    <xf numFmtId="0" fontId="20" fillId="12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3" fontId="0" fillId="12" borderId="0" xfId="0" applyNumberFormat="1" applyFill="1" applyAlignment="1">
      <alignment horizontal="center"/>
    </xf>
    <xf numFmtId="3" fontId="20" fillId="12" borderId="0" xfId="0" applyNumberFormat="1" applyFont="1" applyFill="1" applyAlignment="1">
      <alignment horizontal="center"/>
    </xf>
    <xf numFmtId="11" fontId="0" fillId="7" borderId="0" xfId="0" applyNumberFormat="1" applyFill="1"/>
    <xf numFmtId="11" fontId="0" fillId="6" borderId="0" xfId="0" applyNumberFormat="1" applyFill="1"/>
    <xf numFmtId="2" fontId="20" fillId="2" borderId="0" xfId="0" applyNumberFormat="1" applyFont="1" applyFill="1"/>
    <xf numFmtId="0" fontId="20" fillId="2" borderId="0" xfId="0" applyFont="1" applyFill="1"/>
    <xf numFmtId="2" fontId="0" fillId="2" borderId="0" xfId="0" applyNumberFormat="1" applyFill="1"/>
    <xf numFmtId="0" fontId="20" fillId="5" borderId="0" xfId="0" applyFont="1" applyFill="1" applyAlignment="1">
      <alignment horizontal="center"/>
    </xf>
    <xf numFmtId="2" fontId="0" fillId="5" borderId="0" xfId="0" applyNumberFormat="1" applyFill="1"/>
    <xf numFmtId="0" fontId="20" fillId="13" borderId="0" xfId="0" applyFont="1" applyFill="1"/>
    <xf numFmtId="2" fontId="20" fillId="13" borderId="0" xfId="0" applyNumberFormat="1" applyFont="1" applyFill="1"/>
    <xf numFmtId="0" fontId="20" fillId="14" borderId="0" xfId="0" applyFont="1" applyFill="1"/>
    <xf numFmtId="2" fontId="20" fillId="14" borderId="0" xfId="0" applyNumberFormat="1" applyFont="1" applyFill="1" applyAlignment="1">
      <alignment horizontal="center"/>
    </xf>
    <xf numFmtId="0" fontId="20" fillId="14" borderId="0" xfId="0" applyFont="1" applyFill="1" applyAlignment="1">
      <alignment horizontal="center"/>
    </xf>
    <xf numFmtId="2" fontId="0" fillId="14" borderId="0" xfId="0" applyNumberFormat="1" applyFill="1"/>
    <xf numFmtId="3" fontId="22" fillId="0" borderId="0" xfId="0" applyNumberFormat="1" applyFont="1"/>
    <xf numFmtId="168" fontId="20" fillId="0" borderId="0" xfId="0" applyNumberFormat="1" applyFont="1"/>
    <xf numFmtId="43" fontId="20" fillId="0" borderId="0" xfId="0" applyNumberFormat="1" applyFont="1"/>
    <xf numFmtId="1" fontId="0" fillId="12" borderId="0" xfId="0" applyNumberFormat="1" applyFill="1" applyAlignment="1">
      <alignment horizontal="center"/>
    </xf>
    <xf numFmtId="0" fontId="20" fillId="3" borderId="0" xfId="0" applyFont="1" applyFill="1"/>
    <xf numFmtId="10" fontId="0" fillId="3" borderId="0" xfId="0" applyNumberFormat="1" applyFill="1"/>
    <xf numFmtId="3" fontId="20" fillId="3" borderId="0" xfId="0" applyNumberFormat="1" applyFont="1" applyFill="1"/>
    <xf numFmtId="0" fontId="20" fillId="15" borderId="0" xfId="0" applyFont="1" applyFill="1"/>
    <xf numFmtId="10" fontId="0" fillId="15" borderId="0" xfId="0" applyNumberFormat="1" applyFill="1"/>
    <xf numFmtId="3" fontId="0" fillId="15" borderId="0" xfId="0" applyNumberFormat="1" applyFill="1"/>
    <xf numFmtId="3" fontId="20" fillId="15" borderId="0" xfId="0" applyNumberFormat="1" applyFont="1" applyFill="1"/>
    <xf numFmtId="3" fontId="0" fillId="14" borderId="0" xfId="0" applyNumberFormat="1" applyFill="1"/>
    <xf numFmtId="3" fontId="20" fillId="14" borderId="0" xfId="0" applyNumberFormat="1" applyFont="1" applyFill="1"/>
    <xf numFmtId="3" fontId="20" fillId="8" borderId="0" xfId="0" applyNumberFormat="1" applyFont="1" applyFill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0" xfId="0" applyFont="1" applyFill="1"/>
    <xf numFmtId="3" fontId="0" fillId="8" borderId="0" xfId="0" applyNumberFormat="1" applyFill="1"/>
    <xf numFmtId="3" fontId="20" fillId="8" borderId="0" xfId="0" applyNumberFormat="1" applyFont="1" applyFill="1"/>
    <xf numFmtId="3" fontId="0" fillId="8" borderId="0" xfId="0" applyNumberFormat="1" applyFont="1" applyFill="1"/>
    <xf numFmtId="0" fontId="0" fillId="16" borderId="0" xfId="0" applyFill="1"/>
    <xf numFmtId="0" fontId="20" fillId="16" borderId="0" xfId="0" applyFont="1" applyFill="1"/>
    <xf numFmtId="3" fontId="0" fillId="16" borderId="0" xfId="0" applyNumberFormat="1" applyFill="1"/>
    <xf numFmtId="3" fontId="20" fillId="16" borderId="0" xfId="0" applyNumberFormat="1" applyFont="1" applyFill="1"/>
    <xf numFmtId="1" fontId="20" fillId="16" borderId="0" xfId="0" applyNumberFormat="1" applyFont="1" applyFill="1"/>
    <xf numFmtId="0" fontId="0" fillId="10" borderId="0" xfId="0" applyFill="1" applyAlignment="1">
      <alignment horizontal="center"/>
    </xf>
    <xf numFmtId="1" fontId="0" fillId="10" borderId="0" xfId="0" applyNumberFormat="1" applyFill="1" applyAlignment="1">
      <alignment horizontal="center"/>
    </xf>
    <xf numFmtId="0" fontId="20" fillId="15" borderId="0" xfId="0" applyFont="1" applyFill="1" applyAlignment="1">
      <alignment horizontal="center"/>
    </xf>
    <xf numFmtId="2" fontId="20" fillId="13" borderId="0" xfId="0" applyNumberFormat="1" applyFont="1" applyFill="1" applyAlignment="1">
      <alignment horizontal="right"/>
    </xf>
    <xf numFmtId="0" fontId="20" fillId="6" borderId="0" xfId="0" applyFont="1" applyFill="1" applyAlignment="1">
      <alignment horizontal="center"/>
    </xf>
    <xf numFmtId="3" fontId="0" fillId="6" borderId="0" xfId="0" applyNumberFormat="1" applyFill="1"/>
    <xf numFmtId="3" fontId="20" fillId="6" borderId="0" xfId="0" applyNumberFormat="1" applyFont="1" applyFill="1"/>
    <xf numFmtId="3" fontId="20" fillId="17" borderId="0" xfId="0" applyNumberFormat="1" applyFont="1" applyFill="1"/>
    <xf numFmtId="2" fontId="0" fillId="16" borderId="0" xfId="0" applyNumberFormat="1" applyFill="1"/>
    <xf numFmtId="2" fontId="0" fillId="16" borderId="0" xfId="0" applyNumberFormat="1" applyFont="1" applyFill="1"/>
    <xf numFmtId="0" fontId="20" fillId="6" borderId="0" xfId="0" applyFont="1" applyFill="1"/>
    <xf numFmtId="2" fontId="0" fillId="6" borderId="0" xfId="0" applyNumberFormat="1" applyFill="1"/>
    <xf numFmtId="2" fontId="0" fillId="7" borderId="0" xfId="0" applyNumberFormat="1" applyFill="1"/>
    <xf numFmtId="3" fontId="12" fillId="14" borderId="0" xfId="0" applyNumberFormat="1" applyFont="1" applyFill="1" applyBorder="1"/>
    <xf numFmtId="3" fontId="12" fillId="16" borderId="0" xfId="0" applyNumberFormat="1" applyFont="1" applyFill="1" applyBorder="1"/>
    <xf numFmtId="3" fontId="12" fillId="6" borderId="0" xfId="0" applyNumberFormat="1" applyFont="1" applyFill="1" applyBorder="1"/>
    <xf numFmtId="0" fontId="18" fillId="10" borderId="0" xfId="0" applyFont="1" applyFill="1"/>
    <xf numFmtId="0" fontId="18" fillId="16" borderId="0" xfId="0" applyFont="1" applyFill="1"/>
    <xf numFmtId="0" fontId="18" fillId="4" borderId="0" xfId="0" applyFont="1" applyFill="1"/>
    <xf numFmtId="0" fontId="18" fillId="16" borderId="0" xfId="0" applyFont="1" applyFill="1" applyBorder="1"/>
    <xf numFmtId="0" fontId="18" fillId="14" borderId="0" xfId="0" applyFont="1" applyFill="1" applyBorder="1"/>
    <xf numFmtId="0" fontId="18" fillId="6" borderId="0" xfId="0" applyFont="1" applyFill="1" applyBorder="1"/>
    <xf numFmtId="0" fontId="18" fillId="4" borderId="0" xfId="0" applyFont="1" applyFill="1" applyBorder="1"/>
    <xf numFmtId="0" fontId="12" fillId="10" borderId="0" xfId="0" applyFont="1" applyFill="1"/>
    <xf numFmtId="0" fontId="12" fillId="16" borderId="0" xfId="0" applyFont="1" applyFill="1" applyBorder="1"/>
    <xf numFmtId="166" fontId="12" fillId="16" borderId="0" xfId="0" applyNumberFormat="1" applyFont="1" applyFill="1" applyBorder="1"/>
    <xf numFmtId="0" fontId="12" fillId="14" borderId="0" xfId="0" applyFont="1" applyFill="1" applyBorder="1"/>
    <xf numFmtId="0" fontId="12" fillId="6" borderId="0" xfId="0" applyFont="1" applyFill="1" applyBorder="1"/>
    <xf numFmtId="3" fontId="12" fillId="4" borderId="0" xfId="0" applyNumberFormat="1" applyFont="1" applyFill="1" applyBorder="1"/>
    <xf numFmtId="166" fontId="12" fillId="4" borderId="0" xfId="0" applyNumberFormat="1" applyFont="1" applyFill="1" applyBorder="1"/>
    <xf numFmtId="2" fontId="12" fillId="14" borderId="0" xfId="0" applyNumberFormat="1" applyFont="1" applyFill="1" applyBorder="1"/>
    <xf numFmtId="2" fontId="12" fillId="6" borderId="0" xfId="0" applyNumberFormat="1" applyFont="1" applyFill="1" applyBorder="1"/>
    <xf numFmtId="0" fontId="12" fillId="10" borderId="0" xfId="0" applyNumberFormat="1" applyFont="1" applyFill="1"/>
    <xf numFmtId="0" fontId="12" fillId="4" borderId="0" xfId="0" applyFont="1" applyFill="1" applyBorder="1"/>
    <xf numFmtId="0" fontId="18" fillId="4" borderId="0" xfId="0" applyFont="1" applyFill="1" applyBorder="1" applyAlignment="1">
      <alignment wrapText="1"/>
    </xf>
    <xf numFmtId="1" fontId="12" fillId="4" borderId="0" xfId="0" applyNumberFormat="1" applyFont="1" applyFill="1" applyBorder="1"/>
    <xf numFmtId="3" fontId="18" fillId="10" borderId="0" xfId="0" applyNumberFormat="1" applyFont="1" applyFill="1"/>
    <xf numFmtId="0" fontId="18" fillId="8" borderId="0" xfId="0" applyFont="1" applyFill="1" applyAlignment="1">
      <alignment horizontal="center"/>
    </xf>
    <xf numFmtId="9" fontId="12" fillId="8" borderId="0" xfId="0" applyNumberFormat="1" applyFont="1" applyFill="1"/>
    <xf numFmtId="1" fontId="0" fillId="3" borderId="0" xfId="0" applyNumberFormat="1" applyFill="1"/>
    <xf numFmtId="1" fontId="20" fillId="3" borderId="0" xfId="0" applyNumberFormat="1" applyFont="1" applyFill="1"/>
    <xf numFmtId="0" fontId="0" fillId="6" borderId="0" xfId="0" applyFill="1"/>
    <xf numFmtId="17" fontId="0" fillId="0" borderId="0" xfId="0" applyNumberFormat="1"/>
    <xf numFmtId="0" fontId="0" fillId="14" borderId="0" xfId="0" applyFill="1" applyAlignment="1">
      <alignment horizontal="center"/>
    </xf>
    <xf numFmtId="0" fontId="20" fillId="14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10" fontId="0" fillId="0" borderId="0" xfId="0" applyNumberFormat="1" applyFont="1"/>
    <xf numFmtId="49" fontId="0" fillId="0" borderId="0" xfId="0" applyNumberFormat="1"/>
    <xf numFmtId="0" fontId="20" fillId="18" borderId="0" xfId="0" applyFont="1" applyFill="1" applyAlignment="1">
      <alignment horizontal="center"/>
    </xf>
    <xf numFmtId="3" fontId="0" fillId="18" borderId="0" xfId="0" applyNumberFormat="1" applyFill="1"/>
    <xf numFmtId="3" fontId="20" fillId="18" borderId="0" xfId="0" applyNumberFormat="1" applyFont="1" applyFill="1"/>
    <xf numFmtId="16" fontId="0" fillId="0" borderId="0" xfId="0" applyNumberFormat="1"/>
    <xf numFmtId="3" fontId="0" fillId="7" borderId="0" xfId="0" applyNumberFormat="1" applyFill="1"/>
    <xf numFmtId="3" fontId="0" fillId="19" borderId="0" xfId="0" applyNumberFormat="1" applyFill="1"/>
    <xf numFmtId="0" fontId="2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1" fontId="20" fillId="10" borderId="0" xfId="0" applyNumberFormat="1" applyFont="1" applyFill="1" applyAlignment="1">
      <alignment horizontal="center"/>
    </xf>
    <xf numFmtId="0" fontId="7" fillId="0" borderId="0" xfId="7" applyAlignment="1">
      <alignment vertical="center"/>
    </xf>
    <xf numFmtId="0" fontId="0" fillId="20" borderId="0" xfId="0" applyFill="1"/>
    <xf numFmtId="3" fontId="0" fillId="20" borderId="0" xfId="0" applyNumberFormat="1" applyFill="1"/>
    <xf numFmtId="0" fontId="3" fillId="0" borderId="33" xfId="15" applyFont="1" applyBorder="1"/>
    <xf numFmtId="17" fontId="3" fillId="0" borderId="33" xfId="15" quotePrefix="1" applyNumberFormat="1" applyFont="1" applyBorder="1" applyAlignment="1">
      <alignment horizontal="right"/>
    </xf>
    <xf numFmtId="0" fontId="28" fillId="0" borderId="0" xfId="15" applyFont="1"/>
    <xf numFmtId="3" fontId="28" fillId="0" borderId="0" xfId="15" applyNumberFormat="1" applyFont="1" applyAlignment="1">
      <alignment horizontal="right"/>
    </xf>
    <xf numFmtId="0" fontId="11" fillId="0" borderId="0" xfId="15" applyFont="1"/>
    <xf numFmtId="0" fontId="3" fillId="0" borderId="33" xfId="15" applyFont="1" applyBorder="1"/>
    <xf numFmtId="17" fontId="3" fillId="0" borderId="33" xfId="15" quotePrefix="1" applyNumberFormat="1" applyFont="1" applyBorder="1" applyAlignment="1">
      <alignment horizontal="right"/>
    </xf>
    <xf numFmtId="0" fontId="28" fillId="0" borderId="0" xfId="6" applyFont="1"/>
    <xf numFmtId="0" fontId="11" fillId="0" borderId="0" xfId="6" applyFont="1"/>
    <xf numFmtId="3" fontId="11" fillId="0" borderId="0" xfId="6" applyNumberFormat="1" applyFont="1"/>
    <xf numFmtId="0" fontId="28" fillId="0" borderId="0" xfId="6" applyFont="1"/>
    <xf numFmtId="0" fontId="11" fillId="0" borderId="0" xfId="6" applyFont="1"/>
    <xf numFmtId="3" fontId="28" fillId="0" borderId="0" xfId="6" applyNumberFormat="1" applyFont="1"/>
    <xf numFmtId="0" fontId="3" fillId="0" borderId="33" xfId="15" applyFont="1" applyBorder="1"/>
    <xf numFmtId="17" fontId="3" fillId="0" borderId="33" xfId="15" quotePrefix="1" applyNumberFormat="1" applyFont="1" applyBorder="1" applyAlignment="1">
      <alignment horizontal="right"/>
    </xf>
    <xf numFmtId="17" fontId="30" fillId="0" borderId="33" xfId="15" quotePrefix="1" applyNumberFormat="1" applyFont="1" applyBorder="1" applyAlignment="1">
      <alignment horizontal="right"/>
    </xf>
    <xf numFmtId="0" fontId="3" fillId="0" borderId="33" xfId="15" applyFont="1" applyBorder="1"/>
    <xf numFmtId="17" fontId="3" fillId="0" borderId="33" xfId="15" quotePrefix="1" applyNumberFormat="1" applyFont="1" applyBorder="1" applyAlignment="1">
      <alignment horizontal="right"/>
    </xf>
    <xf numFmtId="17" fontId="30" fillId="0" borderId="33" xfId="15" quotePrefix="1" applyNumberFormat="1" applyFont="1" applyBorder="1" applyAlignment="1">
      <alignment horizontal="right"/>
    </xf>
    <xf numFmtId="0" fontId="28" fillId="0" borderId="0" xfId="6" applyFont="1"/>
    <xf numFmtId="0" fontId="11" fillId="0" borderId="0" xfId="6" applyFont="1"/>
    <xf numFmtId="3" fontId="28" fillId="0" borderId="0" xfId="6" applyNumberFormat="1" applyFont="1"/>
    <xf numFmtId="17" fontId="3" fillId="0" borderId="33" xfId="15" quotePrefix="1" applyNumberFormat="1" applyFont="1" applyBorder="1" applyAlignment="1">
      <alignment horizontal="right"/>
    </xf>
    <xf numFmtId="17" fontId="30" fillId="0" borderId="33" xfId="15" quotePrefix="1" applyNumberFormat="1" applyFont="1" applyBorder="1" applyAlignment="1">
      <alignment horizontal="right"/>
    </xf>
    <xf numFmtId="0" fontId="3" fillId="0" borderId="33" xfId="15" applyFont="1" applyBorder="1"/>
    <xf numFmtId="10" fontId="20" fillId="0" borderId="0" xfId="0" applyNumberFormat="1" applyFont="1"/>
    <xf numFmtId="0" fontId="0" fillId="0" borderId="0" xfId="0" applyNumberFormat="1"/>
    <xf numFmtId="0" fontId="28" fillId="0" borderId="0" xfId="6" applyFont="1"/>
    <xf numFmtId="0" fontId="11" fillId="0" borderId="0" xfId="6" applyFont="1"/>
    <xf numFmtId="3" fontId="28" fillId="0" borderId="0" xfId="6" applyNumberFormat="1" applyFont="1"/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0" fillId="6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20" fillId="8" borderId="0" xfId="0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3" fontId="0" fillId="15" borderId="0" xfId="0" applyNumberFormat="1" applyFill="1" applyAlignment="1">
      <alignment horizontal="right" vertical="center"/>
    </xf>
    <xf numFmtId="0" fontId="0" fillId="15" borderId="0" xfId="0" applyFill="1" applyAlignment="1">
      <alignment horizontal="right" vertical="center"/>
    </xf>
    <xf numFmtId="17" fontId="20" fillId="14" borderId="0" xfId="0" applyNumberFormat="1" applyFont="1" applyFill="1" applyAlignment="1">
      <alignment horizontal="center"/>
    </xf>
    <xf numFmtId="0" fontId="0" fillId="14" borderId="0" xfId="0" applyFill="1" applyAlignment="1">
      <alignment horizontal="center"/>
    </xf>
    <xf numFmtId="0" fontId="20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20" fillId="14" borderId="0" xfId="0" applyFont="1" applyFill="1" applyAlignment="1">
      <alignment horizontal="center"/>
    </xf>
    <xf numFmtId="0" fontId="20" fillId="6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0" fillId="5" borderId="0" xfId="0" applyFont="1" applyFill="1" applyAlignment="1">
      <alignment horizontal="center"/>
    </xf>
    <xf numFmtId="3" fontId="20" fillId="12" borderId="0" xfId="0" applyNumberFormat="1" applyFont="1" applyFill="1" applyAlignment="1">
      <alignment horizontal="center" wrapText="1"/>
    </xf>
    <xf numFmtId="0" fontId="0" fillId="0" borderId="0" xfId="0" applyAlignment="1"/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20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16" borderId="0" xfId="0" applyFont="1" applyFill="1" applyAlignment="1">
      <alignment horizontal="center"/>
    </xf>
    <xf numFmtId="0" fontId="18" fillId="14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1" applyFont="1" applyAlignment="1" applyProtection="1">
      <alignment horizontal="left" vertical="top" wrapText="1"/>
    </xf>
    <xf numFmtId="0" fontId="5" fillId="0" borderId="0" xfId="7" applyFont="1" applyFill="1" applyAlignment="1" applyProtection="1">
      <alignment horizontal="left" vertical="top" wrapText="1"/>
    </xf>
    <xf numFmtId="0" fontId="5" fillId="0" borderId="0" xfId="1" applyFont="1" applyAlignment="1" applyProtection="1">
      <alignment horizontal="left" vertical="top"/>
    </xf>
    <xf numFmtId="0" fontId="3" fillId="0" borderId="0" xfId="7" applyFont="1" applyAlignment="1">
      <alignment horizontal="left" vertical="top" wrapText="1"/>
    </xf>
    <xf numFmtId="0" fontId="6" fillId="0" borderId="0" xfId="1" applyFont="1" applyFill="1" applyAlignment="1" applyProtection="1">
      <alignment horizontal="left" vertical="top" wrapText="1"/>
    </xf>
    <xf numFmtId="164" fontId="3" fillId="0" borderId="0" xfId="2" applyFont="1" applyAlignment="1">
      <alignment horizontal="left" vertical="top" wrapText="1"/>
    </xf>
    <xf numFmtId="164" fontId="3" fillId="0" borderId="0" xfId="2" applyFont="1" applyAlignment="1">
      <alignment horizontal="left" wrapText="1"/>
    </xf>
    <xf numFmtId="0" fontId="1" fillId="0" borderId="0" xfId="1" applyFont="1" applyAlignment="1" applyProtection="1">
      <alignment horizontal="left" wrapText="1"/>
    </xf>
    <xf numFmtId="0" fontId="5" fillId="0" borderId="0" xfId="13" applyFont="1" applyAlignment="1">
      <alignment horizontal="left" vertical="top"/>
    </xf>
    <xf numFmtId="0" fontId="11" fillId="0" borderId="9" xfId="0" applyFont="1" applyBorder="1" applyAlignment="1">
      <alignment horizontal="center" vertical="center"/>
    </xf>
    <xf numFmtId="0" fontId="3" fillId="0" borderId="0" xfId="7" applyFont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13" applyFont="1" applyAlignment="1">
      <alignment horizontal="left" vertical="top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20" xfId="0" applyFont="1" applyFill="1" applyBorder="1" applyAlignment="1">
      <alignment horizontal="center" vertical="center" wrapText="1"/>
    </xf>
  </cellXfs>
  <cellStyles count="726">
    <cellStyle name="Comma" xfId="14" builtinId="3"/>
    <cellStyle name="Comma 10" xfId="43" xr:uid="{B198D5AC-1A94-474E-BA60-5EFA4D0C211E}"/>
    <cellStyle name="Comma 10 2" xfId="238" xr:uid="{0FAE3418-245F-4BD8-9C72-2487B052C4F7}"/>
    <cellStyle name="Comma 10 2 2" xfId="575" xr:uid="{F91D3C49-3CC7-4EDB-B253-D7FAEDA8F327}"/>
    <cellStyle name="Comma 10 3" xfId="398" xr:uid="{9277B9D3-234D-4C1D-808D-CA5820B81656}"/>
    <cellStyle name="Comma 11" xfId="232" xr:uid="{3DC5A665-D5FE-4D3E-998C-65F88C059FF5}"/>
    <cellStyle name="Comma 11 2" xfId="387" xr:uid="{9E749758-A51F-4826-97FA-37231E923634}"/>
    <cellStyle name="Comma 11 2 2" xfId="724" xr:uid="{2F7B660E-A2EB-49DC-9D31-F1BE621FF1FC}"/>
    <cellStyle name="Comma 11 3" xfId="569" xr:uid="{69F394DC-3518-4A9B-8890-F8FEDE0FDEF6}"/>
    <cellStyle name="Comma 12" xfId="386" xr:uid="{BF388240-0F33-4D60-9CD4-A1F57FE37105}"/>
    <cellStyle name="Comma 12 2" xfId="723" xr:uid="{04914AEF-DF9A-41FC-AE5B-F52FD0ED412B}"/>
    <cellStyle name="Comma 13" xfId="18" xr:uid="{CDB31B92-2F49-4F8B-8904-C61FA599AB38}"/>
    <cellStyle name="Comma 14" xfId="389" xr:uid="{17C4B210-D883-4E84-92C4-B54767ED2151}"/>
    <cellStyle name="Comma 2" xfId="16" xr:uid="{19F3DF0E-4907-42DD-94F7-F53FD1D38133}"/>
    <cellStyle name="Comma 2 10" xfId="120" xr:uid="{D8867A63-AA66-41A8-A930-8B4D12999688}"/>
    <cellStyle name="Comma 2 10 2" xfId="290" xr:uid="{14E31EE8-7661-4795-9C0D-4A5B7BA136A3}"/>
    <cellStyle name="Comma 2 10 2 2" xfId="627" xr:uid="{9843AC0D-E918-468A-BA20-95ED11E47B8C}"/>
    <cellStyle name="Comma 2 10 3" xfId="463" xr:uid="{684E9078-A2EA-42C5-BE1B-04D0E37FE4FF}"/>
    <cellStyle name="Comma 2 11" xfId="44" xr:uid="{AD0B6574-40E0-48B4-9B18-9EAB015148C6}"/>
    <cellStyle name="Comma 2 11 2" xfId="239" xr:uid="{0A944D5A-474E-4648-8007-07BCE3FC6837}"/>
    <cellStyle name="Comma 2 11 2 2" xfId="576" xr:uid="{E8FC7D86-1B9C-4BAD-933C-88841A57A770}"/>
    <cellStyle name="Comma 2 11 3" xfId="399" xr:uid="{9DA64552-E32B-4495-9866-C72230F0AB62}"/>
    <cellStyle name="Comma 2 12" xfId="234" xr:uid="{EB2E9BDE-A7BE-4CEA-B074-A9C20BBAC73B}"/>
    <cellStyle name="Comma 2 12 2" xfId="571" xr:uid="{421C5C4C-B729-491B-BAC4-6991CE70102E}"/>
    <cellStyle name="Comma 2 13" xfId="37" xr:uid="{96740327-8A35-4F6F-AC01-E6F55618315D}"/>
    <cellStyle name="Comma 2 14" xfId="393" xr:uid="{E11F13DB-9AC0-4EA3-9959-6A0E04CBBA27}"/>
    <cellStyle name="Comma 2 2" xfId="25" xr:uid="{A7EEEBBC-3C2D-4057-BE73-CA9D765AB01A}"/>
    <cellStyle name="Comma 2 2 10" xfId="236" xr:uid="{FD8A55BB-FC8A-4F5D-B9F1-A694B5752C0F}"/>
    <cellStyle name="Comma 2 2 10 2" xfId="573" xr:uid="{289458F2-1857-4FA2-B735-C0C81A9846CB}"/>
    <cellStyle name="Comma 2 2 11" xfId="396" xr:uid="{5A28BD1D-F849-45E5-B10C-F455EFEF8CB7}"/>
    <cellStyle name="Comma 2 2 12" xfId="40" xr:uid="{D53D3A3C-152C-4FC8-8555-B77DBC488518}"/>
    <cellStyle name="Comma 2 2 2" xfId="58" xr:uid="{C2B5F27F-3799-4F9F-88B1-7F0CCC8FA568}"/>
    <cellStyle name="Comma 2 2 2 2" xfId="73" xr:uid="{A0D27B74-B1BE-4077-973C-0C2492374180}"/>
    <cellStyle name="Comma 2 2 2 2 2" xfId="194" xr:uid="{8E0C57E6-F43B-4B0F-97ED-C694D45F8BE3}"/>
    <cellStyle name="Comma 2 2 2 2 2 2" xfId="357" xr:uid="{79197451-0D03-4C1D-9C2D-37E4CD5F7F75}"/>
    <cellStyle name="Comma 2 2 2 2 2 2 2" xfId="694" xr:uid="{2510F5FE-1A5E-4489-A764-2709EA1EB25B}"/>
    <cellStyle name="Comma 2 2 2 2 2 3" xfId="533" xr:uid="{4ED76B5A-9A79-4941-9774-40F15ADDB370}"/>
    <cellStyle name="Comma 2 2 2 2 3" xfId="143" xr:uid="{6F225DA6-A027-46EB-A712-85D6AFD42771}"/>
    <cellStyle name="Comma 2 2 2 2 3 2" xfId="310" xr:uid="{DFFC922B-BF7C-409F-B310-0EDD76C57AB6}"/>
    <cellStyle name="Comma 2 2 2 2 3 2 2" xfId="647" xr:uid="{5E528200-74FD-46C5-9CF2-A8D62113F0C9}"/>
    <cellStyle name="Comma 2 2 2 2 3 3" xfId="485" xr:uid="{38D8ACD1-CE06-4A3D-A9CF-866711681158}"/>
    <cellStyle name="Comma 2 2 2 2 4" xfId="260" xr:uid="{2F7BC801-103B-42C2-AE29-D30E6E148778}"/>
    <cellStyle name="Comma 2 2 2 2 4 2" xfId="597" xr:uid="{78612907-588A-4F35-A4F6-BE1CDC2CA9F5}"/>
    <cellStyle name="Comma 2 2 2 2 5" xfId="423" xr:uid="{FE3DFE72-44DE-4A79-94F5-2F43402CBFE7}"/>
    <cellStyle name="Comma 2 2 2 3" xfId="100" xr:uid="{4CD37D6B-710E-4C5D-8EDE-254AB993741F}"/>
    <cellStyle name="Comma 2 2 2 3 2" xfId="214" xr:uid="{CC066469-7628-408C-AE75-E46FC7EBEE82}"/>
    <cellStyle name="Comma 2 2 2 3 2 2" xfId="370" xr:uid="{C840B7BE-FA93-4190-9F83-A5BD0162530B}"/>
    <cellStyle name="Comma 2 2 2 3 2 2 2" xfId="707" xr:uid="{E005D8A9-0775-48BA-A802-33B7935DB901}"/>
    <cellStyle name="Comma 2 2 2 3 2 3" xfId="553" xr:uid="{942BDF00-3F9E-4DF2-9D65-3EE53B1A0A4D}"/>
    <cellStyle name="Comma 2 2 2 3 3" xfId="157" xr:uid="{6FBD5DA8-FEB5-40F2-BC59-B2AE9AB6B208}"/>
    <cellStyle name="Comma 2 2 2 3 3 2" xfId="323" xr:uid="{CBDE2255-0639-4E9A-A18D-6173C2EAD340}"/>
    <cellStyle name="Comma 2 2 2 3 3 2 2" xfId="660" xr:uid="{530B55A0-9C3C-4066-AF9A-91C63E6217FC}"/>
    <cellStyle name="Comma 2 2 2 3 3 3" xfId="499" xr:uid="{5A19C450-24C4-4D00-9C74-610CE2F6EF40}"/>
    <cellStyle name="Comma 2 2 2 3 4" xfId="273" xr:uid="{0984C647-7FF0-4C06-B30B-54B9180263F9}"/>
    <cellStyle name="Comma 2 2 2 3 4 2" xfId="610" xr:uid="{5EA7A72A-9B9A-4E10-AD0E-72A37226860C}"/>
    <cellStyle name="Comma 2 2 2 3 5" xfId="443" xr:uid="{DD02F179-D85B-4919-9B53-ADD5F24E0B78}"/>
    <cellStyle name="Comma 2 2 2 4" xfId="181" xr:uid="{1F3F52A5-6085-414B-BE7B-6DBD40E2C5CC}"/>
    <cellStyle name="Comma 2 2 2 4 2" xfId="344" xr:uid="{E45ECAA8-B0A7-4717-8C36-D02E682BF7C9}"/>
    <cellStyle name="Comma 2 2 2 4 2 2" xfId="681" xr:uid="{6EA31FAA-35AC-4B43-9569-A4D335E7AE33}"/>
    <cellStyle name="Comma 2 2 2 4 3" xfId="520" xr:uid="{C3D27775-307A-47DC-B79E-E65C96D82342}"/>
    <cellStyle name="Comma 2 2 2 5" xfId="128" xr:uid="{80937585-483C-4272-8A7F-25E02454686F}"/>
    <cellStyle name="Comma 2 2 2 5 2" xfId="297" xr:uid="{BC87DC24-14DE-4F4C-87D9-5880442DA5C8}"/>
    <cellStyle name="Comma 2 2 2 5 2 2" xfId="634" xr:uid="{081C5F4C-C06D-4582-ACF6-844CA01EBD0A}"/>
    <cellStyle name="Comma 2 2 2 5 3" xfId="471" xr:uid="{0AE47809-406C-4DBC-95F0-FC9504E82764}"/>
    <cellStyle name="Comma 2 2 2 6" xfId="247" xr:uid="{E6FE36AE-1F66-4573-A2E4-282CBEBCC665}"/>
    <cellStyle name="Comma 2 2 2 6 2" xfId="584" xr:uid="{F1748BC6-E7FB-46AA-A5C2-EB5F5F4C0DAE}"/>
    <cellStyle name="Comma 2 2 2 7" xfId="408" xr:uid="{8CDD3FF7-CA52-4C64-A4DA-F186115FCDBE}"/>
    <cellStyle name="Comma 2 2 3" xfId="65" xr:uid="{C85239DC-34EC-4756-9BB7-32734BB0D158}"/>
    <cellStyle name="Comma 2 2 3 2" xfId="104" xr:uid="{6FC5C80C-9781-41B8-86FF-EB6DB4790DE1}"/>
    <cellStyle name="Comma 2 2 3 2 2" xfId="218" xr:uid="{68F3B149-3747-4394-B1CF-DC511825EB43}"/>
    <cellStyle name="Comma 2 2 3 2 2 2" xfId="374" xr:uid="{988658B5-2CBA-4F76-A5CF-873FF80B1D96}"/>
    <cellStyle name="Comma 2 2 3 2 2 2 2" xfId="711" xr:uid="{C7316C49-8DF6-4ADB-8CC1-90C7FC0C7C8B}"/>
    <cellStyle name="Comma 2 2 3 2 2 3" xfId="557" xr:uid="{33CE0957-82CB-4C87-BD0A-42984F70F846}"/>
    <cellStyle name="Comma 2 2 3 2 3" xfId="277" xr:uid="{2D302DA4-6848-4A90-8206-C38822553EFC}"/>
    <cellStyle name="Comma 2 2 3 2 3 2" xfId="614" xr:uid="{41B29C81-925C-4BD8-A623-F29598B95907}"/>
    <cellStyle name="Comma 2 2 3 2 4" xfId="447" xr:uid="{D885A06E-6909-4937-8BD5-67A4A76A43C9}"/>
    <cellStyle name="Comma 2 2 3 3" xfId="187" xr:uid="{800103A2-C75A-478A-8606-150505827052}"/>
    <cellStyle name="Comma 2 2 3 3 2" xfId="350" xr:uid="{D7D0B266-4A29-4175-B309-830251FD96FD}"/>
    <cellStyle name="Comma 2 2 3 3 2 2" xfId="687" xr:uid="{DB54E6C7-033C-4F8D-A9E4-90A2275CEB9D}"/>
    <cellStyle name="Comma 2 2 3 3 3" xfId="526" xr:uid="{3BCF75DB-6340-4FF2-BBA3-AC6DC3A1797B}"/>
    <cellStyle name="Comma 2 2 3 4" xfId="135" xr:uid="{CA0EF484-DCDC-4B6D-84F5-BA0B057D2473}"/>
    <cellStyle name="Comma 2 2 3 4 2" xfId="303" xr:uid="{28BE2323-DF72-442D-A800-914979DF06BE}"/>
    <cellStyle name="Comma 2 2 3 4 2 2" xfId="640" xr:uid="{FBF88305-5FEC-4A5E-BC3D-8B9021286992}"/>
    <cellStyle name="Comma 2 2 3 4 3" xfId="477" xr:uid="{0DDDE2D6-8BFF-4AD6-9DC2-558D55AA2AB7}"/>
    <cellStyle name="Comma 2 2 3 5" xfId="253" xr:uid="{8C99B7EE-C1B2-4DBA-9E74-1B6E3F21D34B}"/>
    <cellStyle name="Comma 2 2 3 5 2" xfId="590" xr:uid="{DB8F020F-4A2F-41E7-A6EE-72F870DA48D0}"/>
    <cellStyle name="Comma 2 2 3 6" xfId="415" xr:uid="{534BCC7C-5945-474B-9889-9664234110B3}"/>
    <cellStyle name="Comma 2 2 4" xfId="108" xr:uid="{18BD93FD-CC5F-4E2C-A371-8A678C9D02AB}"/>
    <cellStyle name="Comma 2 2 4 2" xfId="222" xr:uid="{5C8A3C6D-C722-4629-9662-6250C4EC19CC}"/>
    <cellStyle name="Comma 2 2 4 2 2" xfId="378" xr:uid="{3F2BD3B3-4B5B-4DEA-8DCD-F3FA8E982175}"/>
    <cellStyle name="Comma 2 2 4 2 2 2" xfId="715" xr:uid="{1ABEDBAC-764F-49D0-A19B-B5C15C0C4F0F}"/>
    <cellStyle name="Comma 2 2 4 2 3" xfId="561" xr:uid="{189FABC1-2255-4750-ABB6-C81869410CD0}"/>
    <cellStyle name="Comma 2 2 4 3" xfId="150" xr:uid="{AAAFEA7D-FAB0-4802-9916-09A95ABB3575}"/>
    <cellStyle name="Comma 2 2 4 3 2" xfId="316" xr:uid="{5CBE2CBE-453F-4875-8D1A-0E1F571F21C1}"/>
    <cellStyle name="Comma 2 2 4 3 2 2" xfId="653" xr:uid="{D30935B5-C12D-43BE-9348-9042E2D130E0}"/>
    <cellStyle name="Comma 2 2 4 3 3" xfId="492" xr:uid="{016D2DD8-747A-43A1-AA0D-2A4CCA8A4935}"/>
    <cellStyle name="Comma 2 2 4 4" xfId="281" xr:uid="{03D72727-E923-499D-B0A7-824D8C02538A}"/>
    <cellStyle name="Comma 2 2 4 4 2" xfId="618" xr:uid="{3C0751E1-60F8-495D-A428-77DDFD0D11B9}"/>
    <cellStyle name="Comma 2 2 4 5" xfId="451" xr:uid="{78FC8571-BCDD-4917-8862-9866A282CDDB}"/>
    <cellStyle name="Comma 2 2 5" xfId="112" xr:uid="{239AF901-B929-4D9F-9AD1-5FA20395ADC9}"/>
    <cellStyle name="Comma 2 2 5 2" xfId="226" xr:uid="{32FC2EBE-21D5-4526-B804-46D5130F7A5A}"/>
    <cellStyle name="Comma 2 2 5 2 2" xfId="382" xr:uid="{8198D424-D22F-497F-9867-F04D8C975286}"/>
    <cellStyle name="Comma 2 2 5 2 2 2" xfId="719" xr:uid="{A8037C3A-F94D-4140-8F1E-C0E79D8CA222}"/>
    <cellStyle name="Comma 2 2 5 2 3" xfId="565" xr:uid="{4A14A3E4-8E97-4D49-A50E-1D1E50017D65}"/>
    <cellStyle name="Comma 2 2 5 3" xfId="163" xr:uid="{498EC2DB-065A-45A6-AD49-66917A2DC012}"/>
    <cellStyle name="Comma 2 2 5 3 2" xfId="329" xr:uid="{46D374E0-E67B-4A70-8B22-3902CA0EB2B8}"/>
    <cellStyle name="Comma 2 2 5 3 2 2" xfId="666" xr:uid="{A15C29FA-BDB4-464F-A824-F3D6E957B599}"/>
    <cellStyle name="Comma 2 2 5 3 3" xfId="505" xr:uid="{50EEFEFA-B01E-46D9-9887-34A5E5B71E56}"/>
    <cellStyle name="Comma 2 2 5 4" xfId="285" xr:uid="{54426E13-F3CE-4209-AFE2-09ECDAAB7837}"/>
    <cellStyle name="Comma 2 2 5 4 2" xfId="622" xr:uid="{CF25B54E-7ED7-4D39-87D3-665D3351723B}"/>
    <cellStyle name="Comma 2 2 5 5" xfId="455" xr:uid="{AC15A642-A420-4EB5-ADA7-0B236BC4D765}"/>
    <cellStyle name="Comma 2 2 6" xfId="92" xr:uid="{F06818CE-9C75-4A5D-AC23-41533B2EABAF}"/>
    <cellStyle name="Comma 2 2 6 2" xfId="208" xr:uid="{8F8DA23D-0186-4375-B5A3-1599CC88A9C1}"/>
    <cellStyle name="Comma 2 2 6 2 2" xfId="366" xr:uid="{44BF45F0-84FB-4E83-B70C-4AF71FDB2645}"/>
    <cellStyle name="Comma 2 2 6 2 2 2" xfId="703" xr:uid="{EF08E62D-797D-4B6E-8F41-A4AC506157F1}"/>
    <cellStyle name="Comma 2 2 6 2 3" xfId="547" xr:uid="{00EEA572-6D33-4ECF-8932-3546CB0E5461}"/>
    <cellStyle name="Comma 2 2 6 3" xfId="269" xr:uid="{90CD0735-D85E-4F4C-8C70-E77E8665FB3A}"/>
    <cellStyle name="Comma 2 2 6 3 2" xfId="606" xr:uid="{B95A9819-3483-40CA-B723-5AC061DFA653}"/>
    <cellStyle name="Comma 2 2 6 4" xfId="437" xr:uid="{D3C1E2F9-8B20-4801-977C-AA4C97D23276}"/>
    <cellStyle name="Comma 2 2 7" xfId="174" xr:uid="{E7DCDB61-8194-4BC2-B72A-FB73983B2827}"/>
    <cellStyle name="Comma 2 2 7 2" xfId="337" xr:uid="{028684A8-9A86-4BE3-8348-9D9DC3665C83}"/>
    <cellStyle name="Comma 2 2 7 2 2" xfId="674" xr:uid="{0B4363D2-4A98-4D07-A107-C4D1C77A0338}"/>
    <cellStyle name="Comma 2 2 7 3" xfId="513" xr:uid="{7AB325A3-8C7A-4F15-A74F-AC8C52E39900}"/>
    <cellStyle name="Comma 2 2 8" xfId="121" xr:uid="{7007D5CC-7AD2-4445-948D-2208A9A634A5}"/>
    <cellStyle name="Comma 2 2 8 2" xfId="291" xr:uid="{623EC3F7-8D65-4511-9CA6-48F277BCFE11}"/>
    <cellStyle name="Comma 2 2 8 2 2" xfId="628" xr:uid="{2BAC003A-5BE2-4DE7-A3C5-2323696E3514}"/>
    <cellStyle name="Comma 2 2 8 3" xfId="464" xr:uid="{DC4A0A8E-E77D-4D0B-A097-02CF4D26B204}"/>
    <cellStyle name="Comma 2 2 9" xfId="45" xr:uid="{4CCBA6E3-E1AB-46A5-8B67-7D7012E89008}"/>
    <cellStyle name="Comma 2 2 9 2" xfId="240" xr:uid="{C5764397-7426-456D-A7E0-BDDE9A15EF1A}"/>
    <cellStyle name="Comma 2 2 9 2 2" xfId="577" xr:uid="{FD7A9778-2F18-4197-8281-F06E1BEA70ED}"/>
    <cellStyle name="Comma 2 2 9 3" xfId="400" xr:uid="{FBF983C9-1081-4F09-AB4D-F9E518CC9961}"/>
    <cellStyle name="Comma 2 3" xfId="57" xr:uid="{E4E6F1D2-0E0F-4D75-B849-07A57824752E}"/>
    <cellStyle name="Comma 2 3 2" xfId="72" xr:uid="{F4E9BB24-4AA3-482F-8684-3A52A1BBAEA1}"/>
    <cellStyle name="Comma 2 3 2 2" xfId="193" xr:uid="{FEDB4C86-6C86-4101-A62F-05A2667A32B8}"/>
    <cellStyle name="Comma 2 3 2 2 2" xfId="356" xr:uid="{62820A43-1172-47A0-832A-EAAFEBE23DD9}"/>
    <cellStyle name="Comma 2 3 2 2 2 2" xfId="693" xr:uid="{2C9D3B35-2C4F-410C-A85A-CFBC81196EBC}"/>
    <cellStyle name="Comma 2 3 2 2 3" xfId="532" xr:uid="{10235D6F-80DC-41A4-BF7F-4CE05428196F}"/>
    <cellStyle name="Comma 2 3 2 3" xfId="142" xr:uid="{3BB3E665-0B70-45B7-BE13-CD699A78EB18}"/>
    <cellStyle name="Comma 2 3 2 3 2" xfId="309" xr:uid="{E6A05669-43D7-40AB-BC13-E5605A8E024B}"/>
    <cellStyle name="Comma 2 3 2 3 2 2" xfId="646" xr:uid="{C75144CD-ACBE-4E3E-88B0-558D440FDF35}"/>
    <cellStyle name="Comma 2 3 2 3 3" xfId="484" xr:uid="{9C392CF1-7611-4812-8C14-9CE9FBCD7541}"/>
    <cellStyle name="Comma 2 3 2 4" xfId="259" xr:uid="{011766A1-953A-4619-9EE5-296340C89D2B}"/>
    <cellStyle name="Comma 2 3 2 4 2" xfId="596" xr:uid="{4AC8B1CB-A0CA-43E9-BD06-055B667B76AD}"/>
    <cellStyle name="Comma 2 3 2 5" xfId="422" xr:uid="{1FA1B51C-0CE3-4F45-BB68-6C946ACB6A22}"/>
    <cellStyle name="Comma 2 3 3" xfId="91" xr:uid="{45C38304-84B6-4083-AC5C-EA5E66229BBF}"/>
    <cellStyle name="Comma 2 3 3 2" xfId="207" xr:uid="{54423B52-3D32-401E-91D8-84BF04711080}"/>
    <cellStyle name="Comma 2 3 3 2 2" xfId="365" xr:uid="{91C18B6A-09EF-4CCE-A2AC-E8102A70938F}"/>
    <cellStyle name="Comma 2 3 3 2 2 2" xfId="702" xr:uid="{81091F22-33F1-41E4-A0B5-832EB66126A7}"/>
    <cellStyle name="Comma 2 3 3 2 3" xfId="546" xr:uid="{724DA36D-A74C-4A12-96A0-9EA84841D437}"/>
    <cellStyle name="Comma 2 3 3 3" xfId="156" xr:uid="{1A3E460F-F571-4931-A172-F065F30BE565}"/>
    <cellStyle name="Comma 2 3 3 3 2" xfId="322" xr:uid="{CE46CAFB-8728-4786-B35C-AE95D54D43EA}"/>
    <cellStyle name="Comma 2 3 3 3 2 2" xfId="659" xr:uid="{9219E2C3-523C-4C86-820F-89933A64346A}"/>
    <cellStyle name="Comma 2 3 3 3 3" xfId="498" xr:uid="{5CCC1B66-62B2-4992-9767-A9E4E36B160C}"/>
    <cellStyle name="Comma 2 3 3 4" xfId="268" xr:uid="{7C185569-8B43-4241-AE50-D0152203AF2C}"/>
    <cellStyle name="Comma 2 3 3 4 2" xfId="605" xr:uid="{62171D39-1850-42A3-B0B9-C03E51FE71F6}"/>
    <cellStyle name="Comma 2 3 3 5" xfId="436" xr:uid="{F950DA59-E685-433C-B437-4D01B92C0432}"/>
    <cellStyle name="Comma 2 3 4" xfId="180" xr:uid="{D3D76287-72B7-42AB-A2B2-6A1035CF2CAF}"/>
    <cellStyle name="Comma 2 3 4 2" xfId="343" xr:uid="{60CE0895-CBBF-43C2-9EE1-DA5CB8FF3938}"/>
    <cellStyle name="Comma 2 3 4 2 2" xfId="680" xr:uid="{078391CA-0172-482D-A2EE-FCC5697671C2}"/>
    <cellStyle name="Comma 2 3 4 3" xfId="519" xr:uid="{921C2028-A0B8-4F5C-8E39-84F5F5D475A2}"/>
    <cellStyle name="Comma 2 3 5" xfId="127" xr:uid="{A250F767-583C-4E33-B91C-A9512C0FEB7B}"/>
    <cellStyle name="Comma 2 3 5 2" xfId="296" xr:uid="{08D0AD49-9DDD-4ECA-B053-2BDFCBCE8F73}"/>
    <cellStyle name="Comma 2 3 5 2 2" xfId="633" xr:uid="{5E78F7DE-FA3B-44BB-A8FF-03E13FBC8284}"/>
    <cellStyle name="Comma 2 3 5 3" xfId="470" xr:uid="{7892CBFC-B5F4-4716-B428-672B80879BC3}"/>
    <cellStyle name="Comma 2 3 6" xfId="246" xr:uid="{98DE7E7D-A160-4D0D-8D43-48964F5753F1}"/>
    <cellStyle name="Comma 2 3 6 2" xfId="583" xr:uid="{E9C8862E-B44E-432D-9295-CDB9699D2662}"/>
    <cellStyle name="Comma 2 3 7" xfId="407" xr:uid="{07CA03DF-0653-48D5-BF75-444D53C78639}"/>
    <cellStyle name="Comma 2 4" xfId="64" xr:uid="{E27A09B2-1A54-40F2-B89A-9A4E7660BC4B}"/>
    <cellStyle name="Comma 2 4 2" xfId="99" xr:uid="{A1530070-E5B6-40E2-B2B0-CDB6D8C5E4C4}"/>
    <cellStyle name="Comma 2 4 2 2" xfId="213" xr:uid="{9EBE5822-2391-4E4B-B7AF-F012B8790EBB}"/>
    <cellStyle name="Comma 2 4 2 2 2" xfId="369" xr:uid="{080D8BD5-F0F0-48B1-8D2A-6882B47D727E}"/>
    <cellStyle name="Comma 2 4 2 2 2 2" xfId="706" xr:uid="{0138508E-D492-419B-A510-27AF4948874E}"/>
    <cellStyle name="Comma 2 4 2 2 3" xfId="552" xr:uid="{0511D76B-260C-4C2B-A142-6D818F66E239}"/>
    <cellStyle name="Comma 2 4 2 3" xfId="272" xr:uid="{9AA2A5D0-319F-49DF-952B-BCCF39ECD4C0}"/>
    <cellStyle name="Comma 2 4 2 3 2" xfId="609" xr:uid="{37E447C9-1049-4F5B-943E-6DDD686908DF}"/>
    <cellStyle name="Comma 2 4 2 4" xfId="442" xr:uid="{86664D0F-6D5B-4018-8EE0-56108530EF4C}"/>
    <cellStyle name="Comma 2 4 3" xfId="186" xr:uid="{D9EF6393-622A-4382-A6CF-DFBC830C20FB}"/>
    <cellStyle name="Comma 2 4 3 2" xfId="349" xr:uid="{AA22608F-DCA0-4A69-A32F-4C9244B1A3EA}"/>
    <cellStyle name="Comma 2 4 3 2 2" xfId="686" xr:uid="{4C83C199-64A5-4173-884A-485FD851B8A1}"/>
    <cellStyle name="Comma 2 4 3 3" xfId="525" xr:uid="{C2616D31-2BC8-489E-99E9-00A7D296D57C}"/>
    <cellStyle name="Comma 2 4 4" xfId="134" xr:uid="{3F382137-AE43-4042-AAB8-9759CE2494B2}"/>
    <cellStyle name="Comma 2 4 4 2" xfId="302" xr:uid="{070D09BD-5EC9-4498-9481-4232807768D3}"/>
    <cellStyle name="Comma 2 4 4 2 2" xfId="639" xr:uid="{A0176FF9-D907-4F0F-80E1-11A5204C24C4}"/>
    <cellStyle name="Comma 2 4 4 3" xfId="476" xr:uid="{CE58249B-F7EB-4646-A572-5B5628B640F7}"/>
    <cellStyle name="Comma 2 4 5" xfId="252" xr:uid="{BA01407D-7D7C-462F-A44F-9AB97472A8AD}"/>
    <cellStyle name="Comma 2 4 5 2" xfId="589" xr:uid="{4CE714D1-4B71-4EB3-8CD6-2544F787AA2F}"/>
    <cellStyle name="Comma 2 4 6" xfId="414" xr:uid="{F7C3B207-AAE9-405E-8240-21069B828F5A}"/>
    <cellStyle name="Comma 2 5" xfId="103" xr:uid="{33D2DE59-E20D-4B48-8546-4002FAAA0C9E}"/>
    <cellStyle name="Comma 2 5 2" xfId="217" xr:uid="{2B13137D-095A-4A8A-AF6C-F38FBF901A6A}"/>
    <cellStyle name="Comma 2 5 2 2" xfId="373" xr:uid="{24ACFFE1-53A0-4C3C-A38E-B5A50C58CB7D}"/>
    <cellStyle name="Comma 2 5 2 2 2" xfId="710" xr:uid="{A3D76654-70BB-4636-8199-4E9E12ECB4D6}"/>
    <cellStyle name="Comma 2 5 2 3" xfId="556" xr:uid="{9EA05643-2F29-4833-B60A-D959AD445AC8}"/>
    <cellStyle name="Comma 2 5 3" xfId="149" xr:uid="{32009C24-0217-4E09-A561-CC56EC6A3D14}"/>
    <cellStyle name="Comma 2 5 3 2" xfId="315" xr:uid="{A9919AB7-4EFF-4DAD-BA76-9BB620DA87CC}"/>
    <cellStyle name="Comma 2 5 3 2 2" xfId="652" xr:uid="{4306C349-576B-4C82-8BD3-2ABBB6D7793A}"/>
    <cellStyle name="Comma 2 5 3 3" xfId="491" xr:uid="{72684F29-F28E-4EF8-9F67-C676D9E2025C}"/>
    <cellStyle name="Comma 2 5 4" xfId="276" xr:uid="{29E286FE-C073-48F4-B32B-B96C127A63B3}"/>
    <cellStyle name="Comma 2 5 4 2" xfId="613" xr:uid="{59064B9D-B1C1-45C4-875E-7A3A0E3DD0DE}"/>
    <cellStyle name="Comma 2 5 5" xfId="446" xr:uid="{E66DDA86-7861-4282-9739-9FE4035B73DD}"/>
    <cellStyle name="Comma 2 6" xfId="107" xr:uid="{6287569F-6E59-4CA4-82EE-74760F4DCA87}"/>
    <cellStyle name="Comma 2 6 2" xfId="221" xr:uid="{E367B1F4-CD2E-4E42-A681-D3757D96996F}"/>
    <cellStyle name="Comma 2 6 2 2" xfId="377" xr:uid="{9170AB12-7EBF-4492-ABC8-DCD9E964A8AB}"/>
    <cellStyle name="Comma 2 6 2 2 2" xfId="714" xr:uid="{7E702BA9-4DC0-4590-911B-3D8CCE19CEEE}"/>
    <cellStyle name="Comma 2 6 2 3" xfId="560" xr:uid="{67E1DCA3-F566-4596-A998-EE7CA4D1BBA8}"/>
    <cellStyle name="Comma 2 6 3" xfId="162" xr:uid="{3D18149A-5A98-43C3-A53A-DB29F94A4888}"/>
    <cellStyle name="Comma 2 6 3 2" xfId="328" xr:uid="{82B3F726-1196-4BB3-8509-39CA1467043A}"/>
    <cellStyle name="Comma 2 6 3 2 2" xfId="665" xr:uid="{2E5FF3C3-A5CB-4EBD-AE9B-24CCA76AA032}"/>
    <cellStyle name="Comma 2 6 3 3" xfId="504" xr:uid="{E1A392B5-2FA6-43FB-A8EA-C0F8EF64528E}"/>
    <cellStyle name="Comma 2 6 4" xfId="280" xr:uid="{5A8FC356-F72B-4569-9115-826FF81BE1A0}"/>
    <cellStyle name="Comma 2 6 4 2" xfId="617" xr:uid="{DCF2D7A8-6C8F-449B-8C22-67CB03CDF3D7}"/>
    <cellStyle name="Comma 2 6 5" xfId="450" xr:uid="{ED76EF4C-AC2D-4847-A62A-13433633C6F2}"/>
    <cellStyle name="Comma 2 7" xfId="111" xr:uid="{488DB861-41EB-45A9-94D8-77398EF5EFA3}"/>
    <cellStyle name="Comma 2 7 2" xfId="225" xr:uid="{C125518B-F712-426F-9F03-498756EAF8A8}"/>
    <cellStyle name="Comma 2 7 2 2" xfId="381" xr:uid="{94535B0F-AAA1-41E4-90BA-D4D50F311AE2}"/>
    <cellStyle name="Comma 2 7 2 2 2" xfId="718" xr:uid="{81F18BC1-D949-457E-BA7C-7B895A61CF44}"/>
    <cellStyle name="Comma 2 7 2 3" xfId="564" xr:uid="{46CA2D62-FDC2-4DF7-A376-18714DB34FF9}"/>
    <cellStyle name="Comma 2 7 3" xfId="284" xr:uid="{5725E14F-4F4D-49CC-9345-E22E1E928B13}"/>
    <cellStyle name="Comma 2 7 3 2" xfId="621" xr:uid="{A241C513-8020-47B3-A260-75D03989F875}"/>
    <cellStyle name="Comma 2 7 4" xfId="454" xr:uid="{44DC05B8-080E-4D77-901E-AF3C2EFA3B2E}"/>
    <cellStyle name="Comma 2 8" xfId="85" xr:uid="{22E906A4-8495-424F-AC8F-1CF4224F1B92}"/>
    <cellStyle name="Comma 2 8 2" xfId="204" xr:uid="{0BDF8D1F-53FC-4F54-9A8A-F199215FCF27}"/>
    <cellStyle name="Comma 2 8 2 2" xfId="362" xr:uid="{57241822-8D5C-45E4-AADC-A432739A698B}"/>
    <cellStyle name="Comma 2 8 2 2 2" xfId="699" xr:uid="{AF6198A1-D9F0-41D6-A181-44F3B5E65B05}"/>
    <cellStyle name="Comma 2 8 2 3" xfId="543" xr:uid="{40F1F6B1-B17B-4A93-873A-3E4B49EA5CD1}"/>
    <cellStyle name="Comma 2 8 3" xfId="265" xr:uid="{1242BC1A-DFC8-43B3-B1F8-9A793F344B59}"/>
    <cellStyle name="Comma 2 8 3 2" xfId="602" xr:uid="{5DC5CE73-6744-4E27-A6E5-02DB51F3F0A0}"/>
    <cellStyle name="Comma 2 8 4" xfId="433" xr:uid="{794614C5-5628-47E9-AF6B-9697E4A34C01}"/>
    <cellStyle name="Comma 2 9" xfId="173" xr:uid="{B0065565-EF0A-4DEC-94C6-31CF04CF204A}"/>
    <cellStyle name="Comma 2 9 2" xfId="336" xr:uid="{33AEE7C4-1D72-4870-AB40-65D9F666F97F}"/>
    <cellStyle name="Comma 2 9 2 2" xfId="673" xr:uid="{E19BFAE7-2E38-464A-ACA9-5AF29D5B4CE0}"/>
    <cellStyle name="Comma 2 9 3" xfId="512" xr:uid="{1DB42143-EE1D-47BC-8943-17C19F24704D}"/>
    <cellStyle name="Comma 3" xfId="4" xr:uid="{DCC9363D-CB5A-4A99-B54B-1B08DA829E9E}"/>
    <cellStyle name="Comma 3 10" xfId="175" xr:uid="{16DDF32B-45F8-426B-8CEE-4D1A367A3879}"/>
    <cellStyle name="Comma 3 10 2" xfId="338" xr:uid="{3C868593-2C13-46F0-9DEB-5F1E7A47D796}"/>
    <cellStyle name="Comma 3 10 2 2" xfId="675" xr:uid="{3BD87941-52D4-4CED-98E7-285FFCAE5E8C}"/>
    <cellStyle name="Comma 3 10 3" xfId="514" xr:uid="{27795988-057D-4371-A76E-7960FD329C8F}"/>
    <cellStyle name="Comma 3 11" xfId="122" xr:uid="{7F8161C8-96BF-48A7-BD21-C416625D33EF}"/>
    <cellStyle name="Comma 3 11 2" xfId="292" xr:uid="{F56459E3-1DCB-45E7-A45C-F22A09B7773C}"/>
    <cellStyle name="Comma 3 11 2 2" xfId="629" xr:uid="{6498E85E-9600-45A4-93EE-CC8BE11A34B5}"/>
    <cellStyle name="Comma 3 11 3" xfId="465" xr:uid="{6128CE50-0FCB-4E00-A4FE-416B2D4F2E4A}"/>
    <cellStyle name="Comma 3 12" xfId="46" xr:uid="{E889FA91-CF4E-4EB8-A3CC-ACE69510E1C9}"/>
    <cellStyle name="Comma 3 12 2" xfId="241" xr:uid="{FADFA302-A7B5-4220-8946-68EC5180043B}"/>
    <cellStyle name="Comma 3 12 2 2" xfId="578" xr:uid="{B8FEE6E4-67B0-4390-81D6-C6089005B8D5}"/>
    <cellStyle name="Comma 3 12 3" xfId="401" xr:uid="{294F5DC6-01CD-44FD-8C3B-701846D3330B}"/>
    <cellStyle name="Comma 3 13" xfId="235" xr:uid="{00418918-A049-4087-A019-613137643E9F}"/>
    <cellStyle name="Comma 3 13 2" xfId="572" xr:uid="{20D70CAD-DB30-4628-BACD-59539625F1C6}"/>
    <cellStyle name="Comma 3 14" xfId="39" xr:uid="{32BA3724-1ECB-4B25-BEFA-A060990FC2DD}"/>
    <cellStyle name="Comma 3 15" xfId="395" xr:uid="{5CEE919B-94FA-4952-8E98-300FF87E0FC5}"/>
    <cellStyle name="Comma 3 2" xfId="17" xr:uid="{B93D4557-7738-4272-B141-6FE4DB7B433C}"/>
    <cellStyle name="Comma 3 2 10" xfId="402" xr:uid="{A57C0912-6537-4583-A961-5DDF90A63201}"/>
    <cellStyle name="Comma 3 2 2" xfId="55" xr:uid="{43D4FE59-8C0C-42C2-A11A-0411AD6A115B}"/>
    <cellStyle name="Comma 3 2 2 2" xfId="70" xr:uid="{A9BC65E1-5FB1-4DDE-A3BF-E2DB74A5BC20}"/>
    <cellStyle name="Comma 3 2 2 2 2" xfId="191" xr:uid="{3186DB6F-C76C-416B-87F7-973A2AE22B08}"/>
    <cellStyle name="Comma 3 2 2 2 2 2" xfId="354" xr:uid="{B5A28F4F-C99E-4192-A46F-BCCF018BC115}"/>
    <cellStyle name="Comma 3 2 2 2 2 2 2" xfId="691" xr:uid="{7754E1C8-9FD1-4928-8F69-586D1712C523}"/>
    <cellStyle name="Comma 3 2 2 2 2 3" xfId="530" xr:uid="{B539FC4A-A853-4448-BD9F-BF497959E368}"/>
    <cellStyle name="Comma 3 2 2 2 3" xfId="140" xr:uid="{12EA97E3-2906-499C-9D47-B5BB617872C9}"/>
    <cellStyle name="Comma 3 2 2 2 3 2" xfId="307" xr:uid="{D731375F-402C-484C-9D53-F99425BC2C64}"/>
    <cellStyle name="Comma 3 2 2 2 3 2 2" xfId="644" xr:uid="{783EFBD9-9BCD-4998-8A4F-DDF4A29D423A}"/>
    <cellStyle name="Comma 3 2 2 2 3 3" xfId="482" xr:uid="{3C9E7CB9-8624-40E1-BF7B-403BFADAEE21}"/>
    <cellStyle name="Comma 3 2 2 2 4" xfId="257" xr:uid="{5231746C-0026-439F-B284-0201A7514815}"/>
    <cellStyle name="Comma 3 2 2 2 4 2" xfId="594" xr:uid="{FFFB0FD7-80B7-4280-80C7-ED5336F02781}"/>
    <cellStyle name="Comma 3 2 2 2 5" xfId="420" xr:uid="{0AFF047A-29E0-4191-8F3E-14F601013027}"/>
    <cellStyle name="Comma 3 2 2 3" xfId="102" xr:uid="{7E275D8E-68BA-42A7-93D7-BC6AB3FBBAA2}"/>
    <cellStyle name="Comma 3 2 2 3 2" xfId="216" xr:uid="{FF5F4EAE-3CF3-47B0-B109-904920AC8D7F}"/>
    <cellStyle name="Comma 3 2 2 3 2 2" xfId="372" xr:uid="{0EE24E52-765B-4467-813B-898CBE95B8E3}"/>
    <cellStyle name="Comma 3 2 2 3 2 2 2" xfId="709" xr:uid="{BD6BA730-CFAB-4B86-8F21-3D4CFD0D59A4}"/>
    <cellStyle name="Comma 3 2 2 3 2 3" xfId="555" xr:uid="{E1A2252F-3782-448C-9198-5351946F78C6}"/>
    <cellStyle name="Comma 3 2 2 3 3" xfId="154" xr:uid="{A99B3313-FC95-45F5-AF46-28D2F53204BA}"/>
    <cellStyle name="Comma 3 2 2 3 3 2" xfId="320" xr:uid="{FCDBCB73-8FBC-47BD-BAA1-A564ABB2F17A}"/>
    <cellStyle name="Comma 3 2 2 3 3 2 2" xfId="657" xr:uid="{833A3E3C-43E6-4DA4-8003-952206C8440A}"/>
    <cellStyle name="Comma 3 2 2 3 3 3" xfId="496" xr:uid="{951F27BC-E0B5-4CB7-8C63-8CFB8B9B9F50}"/>
    <cellStyle name="Comma 3 2 2 3 4" xfId="275" xr:uid="{16786675-940E-49F4-9D33-1BE184631545}"/>
    <cellStyle name="Comma 3 2 2 3 4 2" xfId="612" xr:uid="{092D0723-F09C-4ABB-B11C-52F4948428BA}"/>
    <cellStyle name="Comma 3 2 2 3 5" xfId="445" xr:uid="{700C5140-8F4F-4420-8591-BD95EF121858}"/>
    <cellStyle name="Comma 3 2 2 4" xfId="178" xr:uid="{C1D14826-A581-4A0C-9519-848B5546656F}"/>
    <cellStyle name="Comma 3 2 2 4 2" xfId="341" xr:uid="{384772E3-EC36-47FF-84F8-31FF4A6948B7}"/>
    <cellStyle name="Comma 3 2 2 4 2 2" xfId="678" xr:uid="{4AA1B276-EB5A-476A-BAC1-E4902F61021A}"/>
    <cellStyle name="Comma 3 2 2 4 3" xfId="517" xr:uid="{66EBA3D7-C311-4194-81B6-4794A06119A2}"/>
    <cellStyle name="Comma 3 2 2 5" xfId="130" xr:uid="{B28774CC-0505-4488-BFEC-2BF0C3E2B5A8}"/>
    <cellStyle name="Comma 3 2 2 5 2" xfId="299" xr:uid="{8E59B523-3C4B-4394-8F36-28A2F13279AC}"/>
    <cellStyle name="Comma 3 2 2 5 2 2" xfId="636" xr:uid="{7B7EAAAF-5DB3-4B92-A6F1-AE20BCF7A4B0}"/>
    <cellStyle name="Comma 3 2 2 5 3" xfId="473" xr:uid="{E9849110-05C9-44D3-846F-9C594FB90664}"/>
    <cellStyle name="Comma 3 2 2 6" xfId="244" xr:uid="{4DF8692D-2B7A-4FDC-A08D-1683DEB7E275}"/>
    <cellStyle name="Comma 3 2 2 6 2" xfId="581" xr:uid="{A5EE9A0C-8216-4A38-B6CB-EE6F69679E4F}"/>
    <cellStyle name="Comma 3 2 2 7" xfId="405" xr:uid="{B3DD3710-9E3E-4756-BFD7-DCD26FE428D4}"/>
    <cellStyle name="Comma 3 2 3" xfId="60" xr:uid="{B0EFD21A-9C3F-48F0-84D5-855806505A72}"/>
    <cellStyle name="Comma 3 2 3 2" xfId="75" xr:uid="{2B47FC75-1745-4C3A-A278-E6B874CE80B1}"/>
    <cellStyle name="Comma 3 2 3 2 2" xfId="196" xr:uid="{368B5891-77DF-4434-A857-52E461A94FEE}"/>
    <cellStyle name="Comma 3 2 3 2 2 2" xfId="359" xr:uid="{EF5E519B-DD51-4F9E-BA53-567834BEB7CE}"/>
    <cellStyle name="Comma 3 2 3 2 2 2 2" xfId="696" xr:uid="{8A47FD0E-15C0-41F1-B27B-BD1D01A86026}"/>
    <cellStyle name="Comma 3 2 3 2 2 3" xfId="535" xr:uid="{A0BE5E7D-6F9C-4A55-9F9E-25EA301CA4DE}"/>
    <cellStyle name="Comma 3 2 3 2 3" xfId="159" xr:uid="{23EDA031-660D-44A4-999E-8B68FA7B34F3}"/>
    <cellStyle name="Comma 3 2 3 2 3 2" xfId="325" xr:uid="{50D6846F-9878-43EF-8175-EE8CB25D57B4}"/>
    <cellStyle name="Comma 3 2 3 2 3 2 2" xfId="662" xr:uid="{3A657C11-1B43-4603-BF7F-A1B5C5120976}"/>
    <cellStyle name="Comma 3 2 3 2 3 3" xfId="501" xr:uid="{E679A6EA-EB48-4648-9A9B-A5BE171C65D7}"/>
    <cellStyle name="Comma 3 2 3 2 4" xfId="262" xr:uid="{A2BB7813-B838-413A-A334-79A6AF043704}"/>
    <cellStyle name="Comma 3 2 3 2 4 2" xfId="599" xr:uid="{36750B63-7C6E-4F68-B3CA-140269307897}"/>
    <cellStyle name="Comma 3 2 3 2 5" xfId="425" xr:uid="{CB9B91CE-3E39-437D-A774-5996B3089EED}"/>
    <cellStyle name="Comma 3 2 3 3" xfId="106" xr:uid="{3D7273E1-F026-4982-A06F-7C57994562E3}"/>
    <cellStyle name="Comma 3 2 3 3 2" xfId="220" xr:uid="{8828AF61-4EB9-4A74-A3BE-9B7643952E3C}"/>
    <cellStyle name="Comma 3 2 3 3 2 2" xfId="376" xr:uid="{E3169712-8D69-4BEA-BF3C-FDE6A5FE10A5}"/>
    <cellStyle name="Comma 3 2 3 3 2 2 2" xfId="713" xr:uid="{8BBEE936-C95B-4FDF-9338-31A0EC307BEC}"/>
    <cellStyle name="Comma 3 2 3 3 2 3" xfId="559" xr:uid="{FCE4A5E9-0570-40ED-A1AF-78BFB213BDCA}"/>
    <cellStyle name="Comma 3 2 3 3 3" xfId="279" xr:uid="{BE690ADD-1FE5-4316-8E77-A472BACAAEED}"/>
    <cellStyle name="Comma 3 2 3 3 3 2" xfId="616" xr:uid="{81920E38-F442-4F7F-A203-CC86705D5A45}"/>
    <cellStyle name="Comma 3 2 3 3 4" xfId="449" xr:uid="{C9DDC640-0055-4F9E-BD86-9D9E0435C1E6}"/>
    <cellStyle name="Comma 3 2 3 4" xfId="183" xr:uid="{507BA8F4-198C-48B8-A6CA-26A30D027F7A}"/>
    <cellStyle name="Comma 3 2 3 4 2" xfId="346" xr:uid="{2A2D6308-75E6-40A2-B169-1FDCA0C9A1EB}"/>
    <cellStyle name="Comma 3 2 3 4 2 2" xfId="683" xr:uid="{EF4C5359-0EAE-49DE-8778-D3458B8807BF}"/>
    <cellStyle name="Comma 3 2 3 4 3" xfId="522" xr:uid="{D8A73389-E2C9-4F8D-BD6B-AC52AC6242EA}"/>
    <cellStyle name="Comma 3 2 3 5" xfId="145" xr:uid="{61985A1E-3522-4D51-9550-D972188A95DE}"/>
    <cellStyle name="Comma 3 2 3 5 2" xfId="312" xr:uid="{1DE61366-9FBA-438B-877A-376F0D6750A6}"/>
    <cellStyle name="Comma 3 2 3 5 2 2" xfId="649" xr:uid="{B7F2554E-D54C-47CA-BC7E-2EE5E99DC621}"/>
    <cellStyle name="Comma 3 2 3 5 3" xfId="487" xr:uid="{0361CAE6-11C9-48BA-941C-C32A06ACA14A}"/>
    <cellStyle name="Comma 3 2 3 6" xfId="249" xr:uid="{05B44DB3-53F9-4237-81C8-E8515AB885D3}"/>
    <cellStyle name="Comma 3 2 3 6 2" xfId="586" xr:uid="{A8768376-B45D-4810-A114-AB23CB856232}"/>
    <cellStyle name="Comma 3 2 3 7" xfId="410" xr:uid="{A132320D-CDDE-40A3-A58C-8129508D901F}"/>
    <cellStyle name="Comma 3 2 4" xfId="67" xr:uid="{E8CB9261-E376-4DBB-A2BC-01BF1E9757C2}"/>
    <cellStyle name="Comma 3 2 4 2" xfId="110" xr:uid="{72600CFB-EAF9-42E4-B445-79F04371D0CB}"/>
    <cellStyle name="Comma 3 2 4 2 2" xfId="224" xr:uid="{A0048FE5-7AF5-40D9-8926-E1A226E7D521}"/>
    <cellStyle name="Comma 3 2 4 2 2 2" xfId="380" xr:uid="{BCF110F7-869C-48EF-8E6A-EF075FA584E8}"/>
    <cellStyle name="Comma 3 2 4 2 2 2 2" xfId="717" xr:uid="{720706A7-806A-4441-9E1D-C8E3DFAC2C25}"/>
    <cellStyle name="Comma 3 2 4 2 2 3" xfId="563" xr:uid="{F532B62F-D496-49A6-92CF-EFDCA4E5AA41}"/>
    <cellStyle name="Comma 3 2 4 2 3" xfId="283" xr:uid="{958A6244-2C18-4CC2-BBB0-3A4B9684C3CD}"/>
    <cellStyle name="Comma 3 2 4 2 3 2" xfId="620" xr:uid="{488C1ED6-B8A3-446E-B413-CA17BB756079}"/>
    <cellStyle name="Comma 3 2 4 2 4" xfId="453" xr:uid="{67580A08-FE10-41E1-BE92-ED1DCF866126}"/>
    <cellStyle name="Comma 3 2 4 3" xfId="189" xr:uid="{374095CB-D1B3-4A61-B42A-9B2C65DD9995}"/>
    <cellStyle name="Comma 3 2 4 3 2" xfId="352" xr:uid="{F0BEFA31-B264-45A6-A400-FF1047AF0B12}"/>
    <cellStyle name="Comma 3 2 4 3 2 2" xfId="689" xr:uid="{F787AEDC-E249-42A2-A5E7-C03B75F62587}"/>
    <cellStyle name="Comma 3 2 4 3 3" xfId="528" xr:uid="{30858ACF-55BA-40A4-AAC3-B651C2DCE1AF}"/>
    <cellStyle name="Comma 3 2 4 4" xfId="137" xr:uid="{51961BD4-D5B6-4A74-8BF9-1E541C588AD2}"/>
    <cellStyle name="Comma 3 2 4 4 2" xfId="305" xr:uid="{6A52C97E-272D-4B1C-B79A-BF552008404E}"/>
    <cellStyle name="Comma 3 2 4 4 2 2" xfId="642" xr:uid="{C6E999F1-00C2-4949-8574-DC39CFCC8EB7}"/>
    <cellStyle name="Comma 3 2 4 4 3" xfId="479" xr:uid="{35B30450-E095-4BF0-9CC9-C837A9B1F35D}"/>
    <cellStyle name="Comma 3 2 4 5" xfId="255" xr:uid="{D565A996-2BC0-4B5F-8F99-2391BCA6A1CB}"/>
    <cellStyle name="Comma 3 2 4 5 2" xfId="592" xr:uid="{B0590979-2799-4DC9-80C1-AFBE8A2ED270}"/>
    <cellStyle name="Comma 3 2 4 6" xfId="417" xr:uid="{DF269E79-74D6-4D8A-A079-409AABBB70C3}"/>
    <cellStyle name="Comma 3 2 5" xfId="114" xr:uid="{A3220540-22F7-4C2B-A878-EF07FEE7CA11}"/>
    <cellStyle name="Comma 3 2 5 2" xfId="228" xr:uid="{B1D3A804-2DFE-48E5-A41C-B20F691D9FDB}"/>
    <cellStyle name="Comma 3 2 5 2 2" xfId="384" xr:uid="{FD603C14-A2FE-4CDD-B5EE-34450EC64675}"/>
    <cellStyle name="Comma 3 2 5 2 2 2" xfId="721" xr:uid="{BF7686BE-05B6-49EE-ACD2-C0973A2739BF}"/>
    <cellStyle name="Comma 3 2 5 2 3" xfId="567" xr:uid="{1B9258BC-CD72-460B-B8D0-91DF2D4938B4}"/>
    <cellStyle name="Comma 3 2 5 3" xfId="152" xr:uid="{A50EF8DA-0814-44EF-AFBF-C81172C348E6}"/>
    <cellStyle name="Comma 3 2 5 3 2" xfId="318" xr:uid="{90AD1193-AF60-486B-AD73-6F9B14A6A6A1}"/>
    <cellStyle name="Comma 3 2 5 3 2 2" xfId="655" xr:uid="{9AF708E7-CFAF-421A-A70F-6772504E631B}"/>
    <cellStyle name="Comma 3 2 5 3 3" xfId="494" xr:uid="{592E661C-DB15-4DCD-865A-F29765D72CA1}"/>
    <cellStyle name="Comma 3 2 5 4" xfId="287" xr:uid="{2EC2BB9E-B39A-440F-8D7D-1AE68D22C815}"/>
    <cellStyle name="Comma 3 2 5 4 2" xfId="624" xr:uid="{E2D399CE-B95E-4F5B-AA0B-9E661FBC22C0}"/>
    <cellStyle name="Comma 3 2 5 5" xfId="457" xr:uid="{9461A810-8B63-4C74-866E-F8AEBE44D9C6}"/>
    <cellStyle name="Comma 3 2 6" xfId="94" xr:uid="{5F614A7E-D59F-4FA1-980F-22ED8F08CF8D}"/>
    <cellStyle name="Comma 3 2 6 2" xfId="210" xr:uid="{CA44633A-21F3-404A-95B8-ED2A4B6678D5}"/>
    <cellStyle name="Comma 3 2 6 2 2" xfId="368" xr:uid="{3AD17A73-0663-4C13-AE8F-0B81E561A868}"/>
    <cellStyle name="Comma 3 2 6 2 2 2" xfId="705" xr:uid="{1EDF6CE1-927F-4EE2-BE7F-5B1B9B7EC504}"/>
    <cellStyle name="Comma 3 2 6 2 3" xfId="549" xr:uid="{EA26C791-5400-4E72-B004-311181CCEE15}"/>
    <cellStyle name="Comma 3 2 6 3" xfId="165" xr:uid="{F2EDB5B9-44F1-4604-B94A-E4D70BB6388D}"/>
    <cellStyle name="Comma 3 2 6 3 2" xfId="331" xr:uid="{406AE40D-3434-439F-9CA9-E260DDC0AE65}"/>
    <cellStyle name="Comma 3 2 6 3 2 2" xfId="668" xr:uid="{E510C721-4D33-4A96-9C2E-1772734F3E17}"/>
    <cellStyle name="Comma 3 2 6 3 3" xfId="507" xr:uid="{F1FD87CE-B4CD-4D39-A540-56D1A013AF36}"/>
    <cellStyle name="Comma 3 2 6 4" xfId="271" xr:uid="{4CFD41B9-5CDD-4918-B73D-C5C44EA0F9FB}"/>
    <cellStyle name="Comma 3 2 6 4 2" xfId="608" xr:uid="{2026BEBF-4C68-4CF4-9802-69F7B459988C}"/>
    <cellStyle name="Comma 3 2 6 5" xfId="439" xr:uid="{E7FB140C-FDAC-4B27-B3C4-DC8E0DC8ED02}"/>
    <cellStyle name="Comma 3 2 7" xfId="176" xr:uid="{7CDC9AAD-56E0-43FF-A9BE-F1A8D8287D98}"/>
    <cellStyle name="Comma 3 2 7 2" xfId="339" xr:uid="{E31CEF8B-1082-4BD4-9612-847A8D64B397}"/>
    <cellStyle name="Comma 3 2 7 2 2" xfId="676" xr:uid="{118FA2DD-08B0-4F69-91D7-CDBD92C6A0C7}"/>
    <cellStyle name="Comma 3 2 7 3" xfId="515" xr:uid="{5B9FD429-A585-4733-BCF7-DC6CE972982D}"/>
    <cellStyle name="Comma 3 2 8" xfId="123" xr:uid="{777CA91F-7374-41E1-9AA8-4F972789AA2E}"/>
    <cellStyle name="Comma 3 2 8 2" xfId="293" xr:uid="{520A8916-C97E-4927-ADB1-A4B1AFCB94A5}"/>
    <cellStyle name="Comma 3 2 8 2 2" xfId="630" xr:uid="{7F6FCDA2-B557-40C9-89DC-B840BE218ACF}"/>
    <cellStyle name="Comma 3 2 8 3" xfId="466" xr:uid="{978C7F3B-4A0C-4443-9F89-C0B49BBC75DF}"/>
    <cellStyle name="Comma 3 2 9" xfId="242" xr:uid="{57D44AE8-C579-4D67-8162-F1E91542B7F1}"/>
    <cellStyle name="Comma 3 2 9 2" xfId="579" xr:uid="{8990849B-3E69-4071-B0BF-97FDB6EAD036}"/>
    <cellStyle name="Comma 3 3" xfId="59" xr:uid="{1EA645B6-E6BA-4EED-9227-7776D9BA3CB2}"/>
    <cellStyle name="Comma 3 3 2" xfId="74" xr:uid="{97AF2A9B-C447-4587-B720-BE4C20F1CF0C}"/>
    <cellStyle name="Comma 3 3 2 2" xfId="195" xr:uid="{915F1426-1C58-4DDD-8007-FB6BB5DD85B8}"/>
    <cellStyle name="Comma 3 3 2 2 2" xfId="358" xr:uid="{FDEA7397-B4C0-4FE5-B995-BE0C4271B34C}"/>
    <cellStyle name="Comma 3 3 2 2 2 2" xfId="695" xr:uid="{30D021CB-6D21-447D-B4A9-655E2DD14F2D}"/>
    <cellStyle name="Comma 3 3 2 2 3" xfId="534" xr:uid="{DA35D031-3EE8-404A-918A-2323BC145E84}"/>
    <cellStyle name="Comma 3 3 2 3" xfId="144" xr:uid="{FE1692DD-9A1C-487D-B9E5-AC9116B1AEEC}"/>
    <cellStyle name="Comma 3 3 2 3 2" xfId="311" xr:uid="{54CDBADF-EAD7-423C-9D80-0DEB18D5CBA2}"/>
    <cellStyle name="Comma 3 3 2 3 2 2" xfId="648" xr:uid="{94DF3287-69D2-4E96-871E-627D5C940A6D}"/>
    <cellStyle name="Comma 3 3 2 3 3" xfId="486" xr:uid="{7AFAFC1C-68C1-4BDC-B819-DC18CDC0720C}"/>
    <cellStyle name="Comma 3 3 2 4" xfId="261" xr:uid="{311483CA-82AD-4206-B902-7B323FCDED4F}"/>
    <cellStyle name="Comma 3 3 2 4 2" xfId="598" xr:uid="{BB92A4C6-3590-4B73-9BCB-ADEFB1FF5188}"/>
    <cellStyle name="Comma 3 3 2 5" xfId="424" xr:uid="{42905368-7598-4F0C-9DEB-2DB1D09763C6}"/>
    <cellStyle name="Comma 3 3 3" xfId="90" xr:uid="{A4530089-2AB7-4DD8-AF08-96C79C508EB7}"/>
    <cellStyle name="Comma 3 3 3 2" xfId="206" xr:uid="{A8DFB737-93E5-4125-8432-2C17AE8B3998}"/>
    <cellStyle name="Comma 3 3 3 2 2" xfId="364" xr:uid="{D78B544A-2B84-4174-9DFC-9F38C962FC33}"/>
    <cellStyle name="Comma 3 3 3 2 2 2" xfId="701" xr:uid="{98F0F296-3434-46BC-BCD9-DF1F562C11B1}"/>
    <cellStyle name="Comma 3 3 3 2 3" xfId="545" xr:uid="{C5319BB1-A9BB-4546-857F-37F2A4725F5C}"/>
    <cellStyle name="Comma 3 3 3 3" xfId="158" xr:uid="{F96C1BCE-FB6A-48CC-B1EB-F5ED550845B6}"/>
    <cellStyle name="Comma 3 3 3 3 2" xfId="324" xr:uid="{5EE02BC1-5508-4B8D-9F77-0D799C609B80}"/>
    <cellStyle name="Comma 3 3 3 3 2 2" xfId="661" xr:uid="{D1DCF961-F95D-47ED-A538-D6AECC5726CA}"/>
    <cellStyle name="Comma 3 3 3 3 3" xfId="500" xr:uid="{6F588AA3-D649-4C7E-87B6-3D89EEBC8C53}"/>
    <cellStyle name="Comma 3 3 3 4" xfId="267" xr:uid="{12C010A9-E2E2-46A0-98C9-1B7672BB1F72}"/>
    <cellStyle name="Comma 3 3 3 4 2" xfId="604" xr:uid="{4D2466EA-B382-4640-BA6D-4544C8E9A6C7}"/>
    <cellStyle name="Comma 3 3 3 5" xfId="435" xr:uid="{7125D838-2F72-482B-96D6-8591D72D01C4}"/>
    <cellStyle name="Comma 3 3 4" xfId="182" xr:uid="{B7336CE3-C98E-45B9-B9C5-D2C6D0223DAF}"/>
    <cellStyle name="Comma 3 3 4 2" xfId="345" xr:uid="{0892B881-65B4-4512-86CE-6F8847E1F2AB}"/>
    <cellStyle name="Comma 3 3 4 2 2" xfId="682" xr:uid="{3E4F3CB9-F550-4E42-9B29-41FB3A0EB700}"/>
    <cellStyle name="Comma 3 3 4 3" xfId="521" xr:uid="{B83BB1D7-3BD5-41C6-AE89-670DA1AFB5B5}"/>
    <cellStyle name="Comma 3 3 5" xfId="129" xr:uid="{4F5E811E-A3BF-4F0C-833C-03DDE3E92BF7}"/>
    <cellStyle name="Comma 3 3 5 2" xfId="298" xr:uid="{E889AB27-9662-4DF6-B487-DA7585D6130D}"/>
    <cellStyle name="Comma 3 3 5 2 2" xfId="635" xr:uid="{74A924D0-452D-4C6D-807C-C4FD62417EF5}"/>
    <cellStyle name="Comma 3 3 5 3" xfId="472" xr:uid="{95041EE2-5565-4BE8-BB63-67315C219A43}"/>
    <cellStyle name="Comma 3 3 6" xfId="248" xr:uid="{B44A0E50-3680-48C8-A51F-E3947493FDC6}"/>
    <cellStyle name="Comma 3 3 6 2" xfId="585" xr:uid="{E94C589D-750B-48E2-96F6-500A2E1A09F6}"/>
    <cellStyle name="Comma 3 3 7" xfId="409" xr:uid="{D5DBF8EC-3E61-478C-B8CF-50DBC23C0B50}"/>
    <cellStyle name="Comma 3 4" xfId="66" xr:uid="{CC416777-42DE-4879-8066-A7F03EAD7C92}"/>
    <cellStyle name="Comma 3 4 2" xfId="93" xr:uid="{F4A7B9DB-63C3-45F4-B25B-33C78AE702C7}"/>
    <cellStyle name="Comma 3 4 2 2" xfId="209" xr:uid="{14CF32CE-904C-4AFF-9E78-AB228DBA86D3}"/>
    <cellStyle name="Comma 3 4 2 2 2" xfId="367" xr:uid="{5103AA1F-5D46-46EB-A901-B3F556D865DF}"/>
    <cellStyle name="Comma 3 4 2 2 2 2" xfId="704" xr:uid="{64A451D8-5859-4E1B-BE53-E7CB04DB0203}"/>
    <cellStyle name="Comma 3 4 2 2 3" xfId="548" xr:uid="{47EAEF3D-1EFC-4D79-BF1F-261A9BDB49BC}"/>
    <cellStyle name="Comma 3 4 2 3" xfId="270" xr:uid="{3567B6D2-2FC3-4294-ACA9-E982CBA07B47}"/>
    <cellStyle name="Comma 3 4 2 3 2" xfId="607" xr:uid="{6685676F-1038-4384-9851-304C0B6B771D}"/>
    <cellStyle name="Comma 3 4 2 4" xfId="438" xr:uid="{82B176E0-CC7E-4241-9263-F78020E49F60}"/>
    <cellStyle name="Comma 3 4 3" xfId="188" xr:uid="{C5F1FC25-26C8-4BD1-B23D-2A2C60E1DB88}"/>
    <cellStyle name="Comma 3 4 3 2" xfId="351" xr:uid="{23AF1E90-55C8-4EC5-A5A0-ADDFB466B918}"/>
    <cellStyle name="Comma 3 4 3 2 2" xfId="688" xr:uid="{3716B494-82EC-4CEE-BD2B-CB6CC2403083}"/>
    <cellStyle name="Comma 3 4 3 3" xfId="527" xr:uid="{5E082644-D4D8-442B-9657-71794BE4D81A}"/>
    <cellStyle name="Comma 3 4 4" xfId="136" xr:uid="{D84B0AD7-DFF3-477A-830D-0F6285F21D93}"/>
    <cellStyle name="Comma 3 4 4 2" xfId="304" xr:uid="{D8DF5A62-567F-4880-B577-1B118DF7278E}"/>
    <cellStyle name="Comma 3 4 4 2 2" xfId="641" xr:uid="{67EF7F6A-E9F8-4F96-AC04-209722C54D36}"/>
    <cellStyle name="Comma 3 4 4 3" xfId="478" xr:uid="{5EDEDDE1-9E15-47A8-A27B-0F9EA60BFEFC}"/>
    <cellStyle name="Comma 3 4 5" xfId="254" xr:uid="{050B270C-399F-40B1-9305-480EE8FF832F}"/>
    <cellStyle name="Comma 3 4 5 2" xfId="591" xr:uid="{F7017253-FC9E-4161-91AB-8DDCC96FF49C}"/>
    <cellStyle name="Comma 3 4 6" xfId="416" xr:uid="{C0A7AD4E-3FBE-4C3E-AD2C-321EFAAA0782}"/>
    <cellStyle name="Comma 3 5" xfId="101" xr:uid="{6ED90501-87E3-4A35-9048-9DA267C3B1A7}"/>
    <cellStyle name="Comma 3 5 2" xfId="215" xr:uid="{CE4D85E3-D625-4E7A-BEE0-964533AC05AA}"/>
    <cellStyle name="Comma 3 5 2 2" xfId="371" xr:uid="{3C3A7360-8A89-4D6F-944F-1FB89138952F}"/>
    <cellStyle name="Comma 3 5 2 2 2" xfId="708" xr:uid="{5410E86F-E22C-434E-9E48-1AC2B6AEFC5A}"/>
    <cellStyle name="Comma 3 5 2 3" xfId="554" xr:uid="{68F39CAF-29CA-40D0-97E1-67F50D8122B1}"/>
    <cellStyle name="Comma 3 5 3" xfId="151" xr:uid="{6ECD578C-D61F-4796-99EF-1F3B56C4A12C}"/>
    <cellStyle name="Comma 3 5 3 2" xfId="317" xr:uid="{640A1431-A244-42DF-9796-E3D68F49DA1A}"/>
    <cellStyle name="Comma 3 5 3 2 2" xfId="654" xr:uid="{11CE639E-FB76-429E-BF9F-EFA4F4AFE630}"/>
    <cellStyle name="Comma 3 5 3 3" xfId="493" xr:uid="{32BDCFAF-20CC-4F33-840D-30145B2465FC}"/>
    <cellStyle name="Comma 3 5 4" xfId="274" xr:uid="{52DE45D1-8E9B-41ED-926E-BFEAB8AE5D36}"/>
    <cellStyle name="Comma 3 5 4 2" xfId="611" xr:uid="{D136903A-06EE-4A8C-A27A-2030F7385024}"/>
    <cellStyle name="Comma 3 5 5" xfId="444" xr:uid="{4FA96357-8C3F-4E91-8C96-3EDF87F90E95}"/>
    <cellStyle name="Comma 3 6" xfId="105" xr:uid="{D11B3D6B-7DBF-4B73-8DD5-9E4E28850E9E}"/>
    <cellStyle name="Comma 3 6 2" xfId="219" xr:uid="{6F55FD8A-8606-484B-9245-FC24C30E5308}"/>
    <cellStyle name="Comma 3 6 2 2" xfId="375" xr:uid="{11B1D529-2D63-438E-80DB-C57E56602E99}"/>
    <cellStyle name="Comma 3 6 2 2 2" xfId="712" xr:uid="{48FA1568-9366-47E9-87A6-E943AC604508}"/>
    <cellStyle name="Comma 3 6 2 3" xfId="558" xr:uid="{DB358817-FA71-4BED-A4CE-B84C7559A6F7}"/>
    <cellStyle name="Comma 3 6 3" xfId="164" xr:uid="{E047E63B-1FC2-4485-951E-47B6C54CA89A}"/>
    <cellStyle name="Comma 3 6 3 2" xfId="330" xr:uid="{C589AE98-1660-47AD-BA6F-B6E5F5DC5495}"/>
    <cellStyle name="Comma 3 6 3 2 2" xfId="667" xr:uid="{F1717189-73E7-457D-BDAE-8172B3B8FF4B}"/>
    <cellStyle name="Comma 3 6 3 3" xfId="506" xr:uid="{716A4EE3-111A-4AC6-8CBE-EF94C242A59B}"/>
    <cellStyle name="Comma 3 6 4" xfId="278" xr:uid="{9E2A0798-6D87-469B-BB74-A210BE816749}"/>
    <cellStyle name="Comma 3 6 4 2" xfId="615" xr:uid="{F298A571-9E0B-4C03-811D-52BA8904C40E}"/>
    <cellStyle name="Comma 3 6 5" xfId="448" xr:uid="{14A09EF2-E810-4B43-8156-65EDDF0C768C}"/>
    <cellStyle name="Comma 3 7" xfId="109" xr:uid="{F58929C7-5C0B-4A88-BE48-CD15ECC11531}"/>
    <cellStyle name="Comma 3 7 2" xfId="223" xr:uid="{AE63CF90-3C8D-47B5-B8E7-E1B86510E94D}"/>
    <cellStyle name="Comma 3 7 2 2" xfId="379" xr:uid="{C7435C11-6E6F-42E6-8987-9B11EEDB5C30}"/>
    <cellStyle name="Comma 3 7 2 2 2" xfId="716" xr:uid="{8A57BB15-76E6-4422-AD8A-693E5BB0A540}"/>
    <cellStyle name="Comma 3 7 2 3" xfId="562" xr:uid="{E0D42552-5FAB-43A1-80DB-30A731B6AE16}"/>
    <cellStyle name="Comma 3 7 3" xfId="282" xr:uid="{D79CFAF0-D52B-42F4-942E-0E60F19377A4}"/>
    <cellStyle name="Comma 3 7 3 2" xfId="619" xr:uid="{CFE52740-E4C5-45A7-B50D-EDE184E27056}"/>
    <cellStyle name="Comma 3 7 4" xfId="452" xr:uid="{4FC694AD-FEF5-498F-B71B-5BD87409023B}"/>
    <cellStyle name="Comma 3 8" xfId="113" xr:uid="{4EACFA36-345E-4E1F-867D-B2A14F16DF7A}"/>
    <cellStyle name="Comma 3 8 2" xfId="227" xr:uid="{886192C6-36C1-4FFE-BF3C-79D2B738D6FE}"/>
    <cellStyle name="Comma 3 8 2 2" xfId="383" xr:uid="{268535D9-9723-426C-B799-52DA44290045}"/>
    <cellStyle name="Comma 3 8 2 2 2" xfId="720" xr:uid="{53D6CB7B-AD22-4A78-BD5E-6D3F8EAB88B6}"/>
    <cellStyle name="Comma 3 8 2 3" xfId="566" xr:uid="{75A6EA86-AC22-4633-9889-BD25150BC64A}"/>
    <cellStyle name="Comma 3 8 3" xfId="286" xr:uid="{44E6E58F-CC0B-4DF8-91B5-7FC8B1C92F8F}"/>
    <cellStyle name="Comma 3 8 3 2" xfId="623" xr:uid="{2AB67102-F593-4C46-ADEE-5F2548CAA334}"/>
    <cellStyle name="Comma 3 8 4" xfId="456" xr:uid="{057E5860-70B9-4CBE-9DCE-17E0B4695F81}"/>
    <cellStyle name="Comma 3 9" xfId="89" xr:uid="{97288889-2CCA-4BEB-B147-C736B44A7C88}"/>
    <cellStyle name="Comma 3 9 2" xfId="205" xr:uid="{5E051DF2-5885-44F9-9561-CFCFFBDBA87C}"/>
    <cellStyle name="Comma 3 9 2 2" xfId="363" xr:uid="{DD2BE9CA-FFF4-4A85-A1D4-B7A025914FA2}"/>
    <cellStyle name="Comma 3 9 2 2 2" xfId="700" xr:uid="{C12EB5E8-BFFE-4BDE-B388-0A64E29986B1}"/>
    <cellStyle name="Comma 3 9 2 3" xfId="544" xr:uid="{53D425F4-29CE-4754-9FAE-005338834B5D}"/>
    <cellStyle name="Comma 3 9 3" xfId="266" xr:uid="{5A656F5F-DCAB-44C6-9F3A-7BB18291E0E0}"/>
    <cellStyle name="Comma 3 9 3 2" xfId="603" xr:uid="{3E54C751-62B2-4B83-B86A-C7AD82FF367A}"/>
    <cellStyle name="Comma 3 9 4" xfId="434" xr:uid="{AAE426C3-0FA8-4635-88CF-2369D94F2997}"/>
    <cellStyle name="Comma 4" xfId="41" xr:uid="{B3BBB2A4-35CC-455A-B8C9-7EEA041E115C}"/>
    <cellStyle name="Comma 4 10" xfId="397" xr:uid="{B6B4181E-DB32-4750-BBBA-8C676FC1C8AB}"/>
    <cellStyle name="Comma 4 2" xfId="61" xr:uid="{911FF874-CA7C-4680-9AB1-B45EF263D60B}"/>
    <cellStyle name="Comma 4 2 2" xfId="76" xr:uid="{B4E9DBDC-509D-4D01-8851-5FB5F05DE751}"/>
    <cellStyle name="Comma 4 2 2 2" xfId="197" xr:uid="{50AFD1F9-1675-4ABB-926A-0E334A7282D9}"/>
    <cellStyle name="Comma 4 2 2 2 2" xfId="360" xr:uid="{F55AD9D8-7931-4883-A199-1AE7677C64A4}"/>
    <cellStyle name="Comma 4 2 2 2 2 2" xfId="697" xr:uid="{372D894C-A7B9-40D9-8D4E-695E03B7F4ED}"/>
    <cellStyle name="Comma 4 2 2 2 3" xfId="536" xr:uid="{AE7FE3C6-6501-4397-9B81-4285DF346EB3}"/>
    <cellStyle name="Comma 4 2 2 3" xfId="146" xr:uid="{94DEEEF9-BB80-4C76-A2EC-BF85BA7AE630}"/>
    <cellStyle name="Comma 4 2 2 3 2" xfId="313" xr:uid="{DFD6B09D-3C02-4270-805D-AF1C59279B95}"/>
    <cellStyle name="Comma 4 2 2 3 2 2" xfId="650" xr:uid="{F6DD8984-36DA-450F-BB48-0E64676CD0D8}"/>
    <cellStyle name="Comma 4 2 2 3 3" xfId="488" xr:uid="{06E606C2-A5E2-4F99-92F9-E036FD0B2E48}"/>
    <cellStyle name="Comma 4 2 2 4" xfId="263" xr:uid="{91F9833A-A794-43F7-9A0A-FB6DF3E28D0D}"/>
    <cellStyle name="Comma 4 2 2 4 2" xfId="600" xr:uid="{817AFFB9-C04E-4B7B-BA52-F7345CFBFDC1}"/>
    <cellStyle name="Comma 4 2 2 5" xfId="426" xr:uid="{73DF45C8-9730-44C7-A340-FA6A43F2DA0A}"/>
    <cellStyle name="Comma 4 2 3" xfId="160" xr:uid="{B8DBE40F-C0CF-454B-9272-98F0741341D0}"/>
    <cellStyle name="Comma 4 2 3 2" xfId="326" xr:uid="{96C90967-6484-40B7-8FD4-83DBBC12227B}"/>
    <cellStyle name="Comma 4 2 3 2 2" xfId="663" xr:uid="{95F3EBA3-8C67-42C2-B4F0-5542F3F1EEBD}"/>
    <cellStyle name="Comma 4 2 3 3" xfId="502" xr:uid="{B4C48F24-A7B4-4D4F-BA23-61691F7DF52E}"/>
    <cellStyle name="Comma 4 2 4" xfId="184" xr:uid="{0496B8D4-52B0-4E77-96E2-2D9282C8188E}"/>
    <cellStyle name="Comma 4 2 4 2" xfId="347" xr:uid="{99C35F82-C297-4A07-946D-89DBBA6CD53F}"/>
    <cellStyle name="Comma 4 2 4 2 2" xfId="684" xr:uid="{D904C000-C2F6-41E9-8D25-E41DE051156D}"/>
    <cellStyle name="Comma 4 2 4 3" xfId="523" xr:uid="{3C2B2829-FA16-4186-9B8B-4FBFC9610C2D}"/>
    <cellStyle name="Comma 4 2 5" xfId="131" xr:uid="{7B477970-DD89-4A58-B42E-424A0DD639D1}"/>
    <cellStyle name="Comma 4 2 5 2" xfId="300" xr:uid="{3B7E34DD-92BC-4C33-AA08-725DF6EAFB74}"/>
    <cellStyle name="Comma 4 2 5 2 2" xfId="637" xr:uid="{309915C4-0806-4024-9F7C-93C85C6FE1BB}"/>
    <cellStyle name="Comma 4 2 5 3" xfId="474" xr:uid="{ED0E87C6-49F2-4DDA-8086-8C5A5344C865}"/>
    <cellStyle name="Comma 4 2 6" xfId="250" xr:uid="{57C251D4-11FE-4B05-B250-3794DCE43EF9}"/>
    <cellStyle name="Comma 4 2 6 2" xfId="587" xr:uid="{6B4976CD-E34B-467C-B4FC-9484FC9319B8}"/>
    <cellStyle name="Comma 4 2 7" xfId="411" xr:uid="{D307D894-A1B0-4FE1-B949-3CCACFCDDB72}"/>
    <cellStyle name="Comma 4 3" xfId="68" xr:uid="{86EE90A3-0101-417C-A298-445E3BAB6169}"/>
    <cellStyle name="Comma 4 3 2" xfId="190" xr:uid="{BB2C7C83-0B44-4A2F-A268-DB563C3DD374}"/>
    <cellStyle name="Comma 4 3 2 2" xfId="353" xr:uid="{9F2C4452-81E2-4A4F-8FE7-B45E4E944E0A}"/>
    <cellStyle name="Comma 4 3 2 2 2" xfId="690" xr:uid="{2BC10895-1EB7-42DC-A59E-8C97F677F3D7}"/>
    <cellStyle name="Comma 4 3 2 3" xfId="529" xr:uid="{6D6097E4-8DE4-4752-9553-835E9CC4DCDF}"/>
    <cellStyle name="Comma 4 3 3" xfId="138" xr:uid="{48AC3C80-0D90-4661-8152-93A48871BD5A}"/>
    <cellStyle name="Comma 4 3 3 2" xfId="306" xr:uid="{C7B4A6B2-5526-4842-A034-9D3562098D45}"/>
    <cellStyle name="Comma 4 3 3 2 2" xfId="643" xr:uid="{3AFDEE0C-E2CC-4E80-8406-B9ABF8ADA1DD}"/>
    <cellStyle name="Comma 4 3 3 3" xfId="480" xr:uid="{FCD67E90-2D32-46E2-B90E-E28286F341A7}"/>
    <cellStyle name="Comma 4 3 4" xfId="256" xr:uid="{31E11487-1742-43D7-914E-630059EAC2F5}"/>
    <cellStyle name="Comma 4 3 4 2" xfId="593" xr:uid="{A5B37083-7D2B-440A-8D82-6752B03D614C}"/>
    <cellStyle name="Comma 4 3 5" xfId="418" xr:uid="{2FFD78C6-C44F-4FE2-AB30-D36919879B59}"/>
    <cellStyle name="Comma 4 4" xfId="153" xr:uid="{AD0B1CEA-1BA2-4EB8-B2E4-37A3D4F14528}"/>
    <cellStyle name="Comma 4 4 2" xfId="319" xr:uid="{2293C57F-7C0D-4C7B-9857-DFE4F4634A10}"/>
    <cellStyle name="Comma 4 4 2 2" xfId="656" xr:uid="{83D1E827-B279-497F-A273-B7B1742F74AD}"/>
    <cellStyle name="Comma 4 4 3" xfId="495" xr:uid="{A517B50B-7BC7-47A0-86A7-FAD142309FB6}"/>
    <cellStyle name="Comma 4 5" xfId="166" xr:uid="{A8CB031F-9958-40A5-8D6A-7EBF5BB64386}"/>
    <cellStyle name="Comma 4 5 2" xfId="332" xr:uid="{BCC5F07A-7D42-45AE-B08D-617AAA7BA869}"/>
    <cellStyle name="Comma 4 5 2 2" xfId="669" xr:uid="{3EE81504-F8BE-42C8-9F64-9AEA47F4A3BC}"/>
    <cellStyle name="Comma 4 5 3" xfId="508" xr:uid="{034BD914-BBBC-4DAB-AF24-142C932274B4}"/>
    <cellStyle name="Comma 4 6" xfId="177" xr:uid="{DB50F3FD-1B81-4A21-A1A4-0428E781BE9C}"/>
    <cellStyle name="Comma 4 6 2" xfId="340" xr:uid="{9C7FFCD6-48A7-4473-AEF4-FB6280B725DE}"/>
    <cellStyle name="Comma 4 6 2 2" xfId="677" xr:uid="{6F3AD140-67F8-47FA-B488-1DA41F382DD6}"/>
    <cellStyle name="Comma 4 6 3" xfId="516" xr:uid="{14F91FE0-1723-4ADB-AD91-34708ED34C8B}"/>
    <cellStyle name="Comma 4 7" xfId="124" xr:uid="{F19A4766-FC5F-4BE2-8DE6-7FCA1692D5F6}"/>
    <cellStyle name="Comma 4 7 2" xfId="294" xr:uid="{297A17A9-3D5F-464D-89FF-55AC335E4F0A}"/>
    <cellStyle name="Comma 4 7 2 2" xfId="631" xr:uid="{676E61AB-CE51-49BE-95B9-5E2A85627B8F}"/>
    <cellStyle name="Comma 4 7 3" xfId="467" xr:uid="{8AB4E350-1BA4-47CC-907E-83BFFEBFCDCA}"/>
    <cellStyle name="Comma 4 8" xfId="47" xr:uid="{30E6E79E-CD83-4908-B7D5-806BC705559A}"/>
    <cellStyle name="Comma 4 8 2" xfId="243" xr:uid="{6413D14F-1B2A-4344-8961-47392E70CA82}"/>
    <cellStyle name="Comma 4 8 2 2" xfId="580" xr:uid="{7BDA590D-D9EB-4B7A-A180-CD7DAF7110C7}"/>
    <cellStyle name="Comma 4 8 3" xfId="403" xr:uid="{8A42FCD5-B83B-4A41-9121-098EDA82845D}"/>
    <cellStyle name="Comma 4 9" xfId="237" xr:uid="{03837F8C-BF2A-43EF-93A5-44AAC366D024}"/>
    <cellStyle name="Comma 4 9 2" xfId="574" xr:uid="{762E5F41-4291-4C48-8252-D267E6CC2D25}"/>
    <cellStyle name="Comma 5" xfId="36" xr:uid="{1D051179-4D3C-4CBA-9E90-0BEB82F739A2}"/>
    <cellStyle name="Comma 5 2" xfId="71" xr:uid="{94EA2146-2BDC-4FC5-9E13-8553FD7E095D}"/>
    <cellStyle name="Comma 5 2 2" xfId="192" xr:uid="{E9C16666-FEE4-45F7-9655-FF3EF1F7C75F}"/>
    <cellStyle name="Comma 5 2 2 2" xfId="355" xr:uid="{AB7D9446-14D5-483A-A31C-90D0D8B214E5}"/>
    <cellStyle name="Comma 5 2 2 2 2" xfId="692" xr:uid="{3D691AA8-84E3-4AA8-A84C-76F7B023810E}"/>
    <cellStyle name="Comma 5 2 2 3" xfId="531" xr:uid="{DF50244C-0B71-45BD-BAC2-AE5389CAA5C5}"/>
    <cellStyle name="Comma 5 2 3" xfId="141" xr:uid="{064B9758-3761-46BF-A44A-F56E0EAD3B4F}"/>
    <cellStyle name="Comma 5 2 3 2" xfId="308" xr:uid="{D90BBBC3-5FCB-46F2-BAB4-E1312D263AFC}"/>
    <cellStyle name="Comma 5 2 3 2 2" xfId="645" xr:uid="{B19194C0-9F0B-4DD5-8191-E75E9594368A}"/>
    <cellStyle name="Comma 5 2 3 3" xfId="483" xr:uid="{E094EA5B-3422-4049-A226-038C5565D260}"/>
    <cellStyle name="Comma 5 2 4" xfId="258" xr:uid="{0C4CDB2C-9987-4582-9E94-473E68F96714}"/>
    <cellStyle name="Comma 5 2 4 2" xfId="595" xr:uid="{4122A4BB-61CC-42EB-877C-B0EA46C1E946}"/>
    <cellStyle name="Comma 5 2 5" xfId="421" xr:uid="{CD660AE8-3C49-4347-8E81-9C0D8929A654}"/>
    <cellStyle name="Comma 5 3" xfId="155" xr:uid="{370DE8A9-261B-47CC-9713-1365C12AAD1B}"/>
    <cellStyle name="Comma 5 3 2" xfId="321" xr:uid="{0D96C45E-9304-46E6-BF3F-985333958E7D}"/>
    <cellStyle name="Comma 5 3 2 2" xfId="658" xr:uid="{FF416DE0-634A-4DE8-9BCF-34D3449B0983}"/>
    <cellStyle name="Comma 5 3 3" xfId="497" xr:uid="{776A8171-C495-4B45-B020-78900546DAF2}"/>
    <cellStyle name="Comma 5 4" xfId="161" xr:uid="{654435C2-4640-429B-94BB-D2BDCCD9F3CF}"/>
    <cellStyle name="Comma 5 4 2" xfId="327" xr:uid="{36154ED2-3E3C-4995-BC4A-C9CFE24A0E6E}"/>
    <cellStyle name="Comma 5 4 2 2" xfId="664" xr:uid="{8B5F038F-5EBF-4DCD-9AF6-5E255465883A}"/>
    <cellStyle name="Comma 5 4 3" xfId="503" xr:uid="{A2F8E9D2-DA58-4F2A-B9D7-F1B6CB34E427}"/>
    <cellStyle name="Comma 5 5" xfId="179" xr:uid="{93AE834E-67FE-4272-AA30-92C94E63B7F3}"/>
    <cellStyle name="Comma 5 5 2" xfId="342" xr:uid="{70E80382-880E-4376-9508-006E17226F2B}"/>
    <cellStyle name="Comma 5 5 2 2" xfId="679" xr:uid="{540F0FA7-A552-4639-832B-17CDA3853BF8}"/>
    <cellStyle name="Comma 5 5 3" xfId="518" xr:uid="{CFE945B3-8667-4744-B966-9BC56031ADC6}"/>
    <cellStyle name="Comma 5 6" xfId="119" xr:uid="{6A56D8D9-C9A3-4790-A05E-057D9230892E}"/>
    <cellStyle name="Comma 5 6 2" xfId="289" xr:uid="{3CF6ADF7-E7FF-44DA-A29C-AD621893D733}"/>
    <cellStyle name="Comma 5 6 2 2" xfId="626" xr:uid="{4D223632-8737-4CF8-86D9-AD7F5BA47DB1}"/>
    <cellStyle name="Comma 5 6 3" xfId="462" xr:uid="{552B8914-5CD5-4678-9F12-590134F15D1B}"/>
    <cellStyle name="Comma 5 7" xfId="56" xr:uid="{E7E2CCC4-AE96-4125-B5E2-DD9DDFF2C81E}"/>
    <cellStyle name="Comma 5 7 2" xfId="245" xr:uid="{189F1D10-EA2E-44C8-B5CA-B23742F3003C}"/>
    <cellStyle name="Comma 5 7 2 2" xfId="582" xr:uid="{CD793399-DBF4-4778-A377-AECC789B1B67}"/>
    <cellStyle name="Comma 5 7 3" xfId="406" xr:uid="{E236AC0A-41BA-4385-BFA8-A5622BCC847D}"/>
    <cellStyle name="Comma 5 8" xfId="233" xr:uid="{4D9EDA78-951B-4B38-909F-45C8AE467136}"/>
    <cellStyle name="Comma 5 8 2" xfId="570" xr:uid="{9ACEF20B-4C51-42E6-BA91-97075BF7A2C3}"/>
    <cellStyle name="Comma 5 9" xfId="392" xr:uid="{736C2B39-C263-48B0-9730-A8312CF27BC0}"/>
    <cellStyle name="Comma 6" xfId="63" xr:uid="{8E1AB42E-8DF6-4C2C-ACB6-8C31D80A39AF}"/>
    <cellStyle name="Comma 6 2" xfId="185" xr:uid="{E6C69572-2F3C-4913-B276-BB69237E1DCB}"/>
    <cellStyle name="Comma 6 2 2" xfId="348" xr:uid="{027D4BA6-2C8A-48ED-85D6-4CE240833644}"/>
    <cellStyle name="Comma 6 2 2 2" xfId="685" xr:uid="{9BFD5086-A024-4EA6-92A6-858C220682E9}"/>
    <cellStyle name="Comma 6 2 3" xfId="524" xr:uid="{4BC58E46-A875-47DD-9EFD-D383485681F8}"/>
    <cellStyle name="Comma 6 3" xfId="126" xr:uid="{05881BD0-4709-4C02-BFB8-8DFD8E236B51}"/>
    <cellStyle name="Comma 6 3 2" xfId="295" xr:uid="{F5641B22-B81A-42F8-91A3-A8A8F8EEA2A7}"/>
    <cellStyle name="Comma 6 3 2 2" xfId="632" xr:uid="{D4D8C783-7541-48DE-B840-7DECDC84B75F}"/>
    <cellStyle name="Comma 6 3 3" xfId="469" xr:uid="{C5D07479-C88F-409B-BE17-BDA8BC1B0E6E}"/>
    <cellStyle name="Comma 6 4" xfId="251" xr:uid="{992B769B-E7FE-4D27-8A35-2F2DB6B18AA3}"/>
    <cellStyle name="Comma 6 4 2" xfId="588" xr:uid="{7A1AEB7B-D1E2-4C72-A6E4-7502BC4D07E9}"/>
    <cellStyle name="Comma 6 5" xfId="413" xr:uid="{3A99B1AC-C920-4E1E-A51C-90A1AC909C83}"/>
    <cellStyle name="Comma 7" xfId="79" xr:uid="{9B33A074-EE21-4926-847A-DC5FD4781123}"/>
    <cellStyle name="Comma 7 2" xfId="200" xr:uid="{FCF4B9B5-6146-438F-A7E1-2B3C7E295AFD}"/>
    <cellStyle name="Comma 7 2 2" xfId="361" xr:uid="{1FDCB699-FF96-43E7-BFFF-F818CEC1D7BB}"/>
    <cellStyle name="Comma 7 2 2 2" xfId="698" xr:uid="{AB5B14B1-A08A-4F6D-951F-2009774E378C}"/>
    <cellStyle name="Comma 7 2 3" xfId="539" xr:uid="{2B9F3EDA-38C5-4905-93E3-4D3D6138471F}"/>
    <cellStyle name="Comma 7 3" xfId="133" xr:uid="{050FE9B8-BA31-40BC-811A-15C8791E8A4E}"/>
    <cellStyle name="Comma 7 3 2" xfId="301" xr:uid="{04E5D8B0-E2D7-4970-9087-831357299123}"/>
    <cellStyle name="Comma 7 3 2 2" xfId="638" xr:uid="{6715D48F-9F35-4917-B952-C6ADC324ECD0}"/>
    <cellStyle name="Comma 7 3 3" xfId="475" xr:uid="{6194139C-1440-4F3B-81DC-6F639ABDC45A}"/>
    <cellStyle name="Comma 7 4" xfId="264" xr:uid="{B75AC43A-BA05-44A7-B164-7ABCA5CDBC49}"/>
    <cellStyle name="Comma 7 4 2" xfId="601" xr:uid="{16E62815-0AED-41B1-B7DA-03B51EEF9DF8}"/>
    <cellStyle name="Comma 7 5" xfId="429" xr:uid="{8BA8A123-0C6D-4431-981B-F4320A601A6D}"/>
    <cellStyle name="Comma 8" xfId="117" xr:uid="{759F991F-4694-4F51-B4D1-08DC074A1CC2}"/>
    <cellStyle name="Comma 8 2" xfId="229" xr:uid="{AEC4DE89-DBA9-4DA7-9536-DD7489978CAE}"/>
    <cellStyle name="Comma 8 2 2" xfId="385" xr:uid="{E70FA60A-17D6-4B7F-8530-D2BB9059BBF4}"/>
    <cellStyle name="Comma 8 2 2 2" xfId="722" xr:uid="{E3AC43E6-1CDE-4991-A6F5-555C8C2C8178}"/>
    <cellStyle name="Comma 8 2 3" xfId="568" xr:uid="{0DC1B7B0-F244-48C9-8D39-F1EB2B93DC39}"/>
    <cellStyle name="Comma 8 3" xfId="170" xr:uid="{9C44E0AB-C0E2-41A0-86B4-A67B00E474C3}"/>
    <cellStyle name="Comma 8 3 2" xfId="334" xr:uid="{BC1B10C8-9AF4-4693-B72D-58CBD81B37AB}"/>
    <cellStyle name="Comma 8 3 2 2" xfId="671" xr:uid="{554AE860-7878-4266-8D21-FCC711040689}"/>
    <cellStyle name="Comma 8 3 3" xfId="510" xr:uid="{55E6260D-7242-4875-A88E-1FCF37F85AC2}"/>
    <cellStyle name="Comma 8 4" xfId="148" xr:uid="{544554F8-03D6-4E5B-BD99-AEA980B441F1}"/>
    <cellStyle name="Comma 8 4 2" xfId="314" xr:uid="{2E375C1B-E2D3-47A5-91A3-4DA0D0BC75D5}"/>
    <cellStyle name="Comma 8 4 2 2" xfId="651" xr:uid="{F39B394E-929B-4379-A8A4-7053960C05A3}"/>
    <cellStyle name="Comma 8 4 3" xfId="490" xr:uid="{81B3ECF7-92CC-4D28-A9AA-863D943ACC40}"/>
    <cellStyle name="Comma 8 5" xfId="288" xr:uid="{C3C113E1-74B1-4210-8FA7-352A0FB877CA}"/>
    <cellStyle name="Comma 8 5 2" xfId="625" xr:uid="{6798E20B-84F4-4821-97FF-3B810C85B7B0}"/>
    <cellStyle name="Comma 8 6" xfId="460" xr:uid="{DA17C698-68ED-4C39-A9B5-B418B975B3D9}"/>
    <cellStyle name="Comma 9" xfId="167" xr:uid="{8D106C77-BCFB-43E0-87E6-D47BFB0D19E9}"/>
    <cellStyle name="Comma 9 2" xfId="172" xr:uid="{6751BD4E-3596-448F-A0AE-A02730AD985B}"/>
    <cellStyle name="Comma 9 2 2" xfId="335" xr:uid="{650FA449-B3B7-4BD5-A2CF-49821A4EB1E2}"/>
    <cellStyle name="Comma 9 2 2 2" xfId="672" xr:uid="{5E4D8826-BF52-46ED-98BD-5F8A6763E600}"/>
    <cellStyle name="Comma 9 2 3" xfId="511" xr:uid="{8586A61D-E117-47EE-81A6-39B434E10570}"/>
    <cellStyle name="Comma 9 3" xfId="333" xr:uid="{12022F14-6C1B-414E-A557-64B8CE419EF0}"/>
    <cellStyle name="Comma 9 3 2" xfId="670" xr:uid="{8DB8C103-82E4-4FDA-A22F-EDD0AB544D75}"/>
    <cellStyle name="Comma 9 4" xfId="509" xr:uid="{89162DEC-2F21-46B5-815A-DE542498A53A}"/>
    <cellStyle name="Hyperlink" xfId="7" builtinId="8"/>
    <cellStyle name="Hyperlink 2" xfId="1" xr:uid="{B240B9E8-CAFD-4C0E-AA49-F2352E07133E}"/>
    <cellStyle name="Hyperlink 2 2" xfId="20" xr:uid="{CF49789A-0590-456B-9AB0-10D405A99325}"/>
    <cellStyle name="Hyperlink 2 2 2" xfId="54" xr:uid="{14D5FE48-A57B-4AE9-B39B-CEBE4B16C63B}"/>
    <cellStyle name="Hyperlink 2 3" xfId="19" xr:uid="{D83D6778-2D13-4F6A-8515-3EF661D4C5AC}"/>
    <cellStyle name="Hyperlink 3" xfId="52" xr:uid="{B6FF1F17-B9D6-4FBF-B8AB-2538FEA7537E}"/>
    <cellStyle name="Hyperlink 3 2" xfId="9" xr:uid="{8FD74881-4CD8-4CFD-B002-64A78E30F454}"/>
    <cellStyle name="Hyperlink 3 2 2" xfId="95" xr:uid="{4930C37B-6517-4A33-8705-97E8B83D74EF}"/>
    <cellStyle name="Hyperlink 3 3" xfId="83" xr:uid="{D237CCEA-6A03-4BEE-8AA4-38D2CE27009C}"/>
    <cellStyle name="Hyperlink 4" xfId="87" xr:uid="{B8529B1D-EF93-4D09-AECC-40450DDA95C9}"/>
    <cellStyle name="Hyperlink 5" xfId="21" xr:uid="{A1233786-91C7-441C-BDD8-22594A24FEA9}"/>
    <cellStyle name="Normal" xfId="0" builtinId="0"/>
    <cellStyle name="Normal 10" xfId="31" xr:uid="{CA62FB0D-E34F-44D1-8178-5BAB433EEA46}"/>
    <cellStyle name="Normal 11" xfId="33" xr:uid="{C559496B-A8EA-4E72-9B4A-F711F451DAEB}"/>
    <cellStyle name="Normal 12" xfId="11" xr:uid="{F1DFD79F-4461-427C-9BAB-6BB8BB538FD8}"/>
    <cellStyle name="Normal 13" xfId="78" xr:uid="{EBF954DC-8ECA-4543-BA51-E5AF214C6601}"/>
    <cellStyle name="Normal 13 2" xfId="199" xr:uid="{8CA6DE8C-451C-4B3B-B2E7-313EFC7006BE}"/>
    <cellStyle name="Normal 13 2 2" xfId="538" xr:uid="{532D3996-E97A-47FB-8C34-AD6E9F16AE89}"/>
    <cellStyle name="Normal 13 3" xfId="428" xr:uid="{F30EFF07-52BA-4BBA-9FB7-C78BB5C6B4DF}"/>
    <cellStyle name="Normal 14" xfId="171" xr:uid="{CF3A32DD-B137-42E4-A4CD-FBB102BFDBDC}"/>
    <cellStyle name="Normal 15" xfId="118" xr:uid="{1D566107-EBE1-465C-A81F-1FC3208FB84F}"/>
    <cellStyle name="Normal 15 2" xfId="461" xr:uid="{2E2E3218-C4E8-43E4-8827-92766F14DF57}"/>
    <cellStyle name="Normal 16" xfId="230" xr:uid="{202187B0-121A-4A55-95F1-2F1AABF137F0}"/>
    <cellStyle name="Normal 17" xfId="42" xr:uid="{9FBB57A1-8DC8-4BCD-B069-D1E88225D36E}"/>
    <cellStyle name="Normal 17 2" xfId="12" xr:uid="{D771956C-F4EA-46B6-92D8-6146B2F5A0B6}"/>
    <cellStyle name="Normal 18" xfId="23" xr:uid="{FA9F5019-C50E-4554-8597-6612F6808964}"/>
    <cellStyle name="Normal 19" xfId="388" xr:uid="{6F5E797F-0A85-43A9-B3D5-2E6733A3D6F4}"/>
    <cellStyle name="Normal 2" xfId="2" xr:uid="{AA6FA2DC-E19C-4AE1-BF6B-AF2CB37907F6}"/>
    <cellStyle name="Normal 2 2" xfId="22" xr:uid="{EABE3FB8-C16A-4DF0-A762-B3373B813A9F}"/>
    <cellStyle name="Normal 2 2 2" xfId="6" xr:uid="{969DE8F1-477F-4145-9941-32A1896BD0A7}"/>
    <cellStyle name="Normal 2 2 3" xfId="49" xr:uid="{CAC8530F-7ED8-4E23-8013-7F4B3071DEC0}"/>
    <cellStyle name="Normal 2 3" xfId="13" xr:uid="{8727D4BB-0F22-48FB-9FBC-7D5D48C22784}"/>
    <cellStyle name="Normal 2 4" xfId="50" xr:uid="{EB27B33C-F27C-473D-9B0B-1208B9DE92E3}"/>
    <cellStyle name="Normal 2 5" xfId="53" xr:uid="{04CF9783-F67C-44E2-BA6F-910B053C460E}"/>
    <cellStyle name="Normal 2 6" xfId="48" xr:uid="{DCAA41B6-E2B4-4A26-9A58-376472C94CCB}"/>
    <cellStyle name="Normal 20" xfId="725" xr:uid="{AA8434DF-F292-4A12-9D67-64F69F31C053}"/>
    <cellStyle name="Normal 3" xfId="3" xr:uid="{A68B9ED0-DDC5-4315-93B1-7112F775D099}"/>
    <cellStyle name="Normal 3 2" xfId="5" xr:uid="{1A264AA3-EFA4-479F-BF64-1C616A07D3E6}"/>
    <cellStyle name="Normal 3 2 2" xfId="10" xr:uid="{67BE0ED9-74C9-42F9-AD34-F83C8D1CB6CD}"/>
    <cellStyle name="Normal 3 2 2 2" xfId="26" xr:uid="{AF66562D-7B31-43C8-9524-46D7A82B598C}"/>
    <cellStyle name="Normal 3 2 2 2 2" xfId="550" xr:uid="{E491A47B-B0D7-4574-AE30-8AD5599C9525}"/>
    <cellStyle name="Normal 3 2 2 2 3" xfId="211" xr:uid="{899E70BD-7587-4822-8784-05C4326076E6}"/>
    <cellStyle name="Normal 3 2 2 3" xfId="96" xr:uid="{C43CEF68-CE1B-4913-AE20-91A9B9E98DCD}"/>
    <cellStyle name="Normal 3 2 2 3 2" xfId="440" xr:uid="{238EF95F-6063-4469-AC0C-88E6E65F0939}"/>
    <cellStyle name="Normal 3 2 3" xfId="35" xr:uid="{8D06ED53-9B07-4B3A-8BD3-E2F0444B2F97}"/>
    <cellStyle name="Normal 3 2 4" xfId="391" xr:uid="{6A9C51D4-C174-44CB-924B-3E378D010490}"/>
    <cellStyle name="Normal 3 3" xfId="8" xr:uid="{8FE5C28F-C5FE-4310-A742-F8F603B28FAB}"/>
    <cellStyle name="Normal 3 3 2" xfId="27" xr:uid="{549DF683-9B3D-480D-A4BB-38590E2D7DC5}"/>
    <cellStyle name="Normal 3 3 2 2" xfId="394" xr:uid="{E8D7018C-128D-413D-9281-CF56F79274F1}"/>
    <cellStyle name="Normal 3 3 2 3" xfId="38" xr:uid="{67BA1997-6A48-4B50-AFA5-E94CF77A6503}"/>
    <cellStyle name="Normal 3 4" xfId="84" xr:uid="{2C635697-B2FB-4C26-9853-1A596E395DB6}"/>
    <cellStyle name="Normal 3 4 2" xfId="203" xr:uid="{702C1756-9219-4440-8453-D10531710081}"/>
    <cellStyle name="Normal 3 4 2 2" xfId="542" xr:uid="{A89B8D7A-7553-4239-9CC8-AF6E1F473869}"/>
    <cellStyle name="Normal 3 4 3" xfId="432" xr:uid="{507386D5-801D-4B26-A2D7-F94DE1E614C2}"/>
    <cellStyle name="Normal 3 5" xfId="34" xr:uid="{3205A09C-DB22-4C97-81C7-38F8B6A70EC4}"/>
    <cellStyle name="Normal 3 6" xfId="390" xr:uid="{90F88EEF-F5EC-40D2-8C20-3FF6FE62C24E}"/>
    <cellStyle name="Normal 4" xfId="24" xr:uid="{6A0B8981-22FD-4E80-8BA6-E9B664F89A8E}"/>
    <cellStyle name="Normal 4 2" xfId="28" xr:uid="{1D5E0D59-19E2-4D22-94EE-8EF0167BF160}"/>
    <cellStyle name="Normal 4 3" xfId="231" xr:uid="{CD662B8C-3C3E-4C2C-A8C2-10745CB0BCA2}"/>
    <cellStyle name="Normal 4 4" xfId="29" xr:uid="{27FE9B30-D4FD-4DBE-8D01-B8812370CF5C}"/>
    <cellStyle name="Normal 5" xfId="15" xr:uid="{BC67E344-9678-4FEE-97FD-4C3034B3C650}"/>
    <cellStyle name="Normal 5 2" xfId="62" xr:uid="{6B3DE3B7-2240-413C-A709-B44338642831}"/>
    <cellStyle name="Normal 5 2 2" xfId="77" xr:uid="{570FA31F-7F27-499D-930F-9D49958373DD}"/>
    <cellStyle name="Normal 5 2 2 2" xfId="198" xr:uid="{9EA8034A-6CBE-4081-B6BE-4DF69A610FC3}"/>
    <cellStyle name="Normal 5 2 2 2 2" xfId="537" xr:uid="{F2F32155-F8E1-419E-AE1A-E68CB5414430}"/>
    <cellStyle name="Normal 5 2 2 3" xfId="427" xr:uid="{368D2B70-1E21-4AFF-A8FB-EF4BE67FF8F2}"/>
    <cellStyle name="Normal 5 2 3" xfId="116" xr:uid="{8A691DEA-5473-483F-B965-8B3D5E4B9924}"/>
    <cellStyle name="Normal 5 2 3 2" xfId="459" xr:uid="{FDC6C4B0-00D4-456E-ACF1-C412C62C81C1}"/>
    <cellStyle name="Normal 5 2 4" xfId="147" xr:uid="{D17F784F-8D66-4E8A-BA2D-718E7A8454F0}"/>
    <cellStyle name="Normal 5 2 4 2" xfId="489" xr:uid="{297E4754-C226-4874-BF9D-360299EBF5A6}"/>
    <cellStyle name="Normal 5 2 5" xfId="412" xr:uid="{D13A7621-9610-45C0-85CD-B976421CCDE9}"/>
    <cellStyle name="Normal 5 3" xfId="69" xr:uid="{97CD12A2-8873-41BB-BF70-AD76DC0C42A8}"/>
    <cellStyle name="Normal 5 3 2" xfId="139" xr:uid="{4334F7EE-E9D2-4CA4-B1E5-EF18B01BE02E}"/>
    <cellStyle name="Normal 5 3 2 2" xfId="481" xr:uid="{CF317165-0DEF-4C61-BEEC-805DD1C81EA7}"/>
    <cellStyle name="Normal 5 3 3" xfId="419" xr:uid="{E763AD03-9C86-40CA-BAB7-92362EB4F4E4}"/>
    <cellStyle name="Normal 5 4" xfId="80" xr:uid="{CEEEA82C-30EE-4675-8AA4-BA29E98ABF6D}"/>
    <cellStyle name="Normal 5 5" xfId="115" xr:uid="{CBF14395-A9D4-47B5-BAF5-5BDE13494CE6}"/>
    <cellStyle name="Normal 5 5 2" xfId="458" xr:uid="{93B486C9-06FF-44EF-AC10-662C2D6DE4E8}"/>
    <cellStyle name="Normal 5 6" xfId="51" xr:uid="{92A12C21-A917-4ED8-9BC8-A9F57B083DAA}"/>
    <cellStyle name="Normal 5 6 2" xfId="404" xr:uid="{94DDB1F1-00C8-4915-8EE6-E40C3B0EB606}"/>
    <cellStyle name="Normal 5 7" xfId="30" xr:uid="{95DD2832-5A9B-463E-8B1D-732B4344B759}"/>
    <cellStyle name="Normal 6" xfId="82" xr:uid="{D378A478-CAB9-4C8F-9DCD-64A866B11D56}"/>
    <cellStyle name="Normal 6 2" xfId="168" xr:uid="{07BB2317-41D4-4C16-AFF3-28F92108492D}"/>
    <cellStyle name="Normal 6 3" xfId="202" xr:uid="{4273B234-3A29-4EC4-AD97-0E98B2C8371B}"/>
    <cellStyle name="Normal 6 3 2" xfId="541" xr:uid="{002CA936-8C1A-4CC3-9550-83F4D4ADF91B}"/>
    <cellStyle name="Normal 6 4" xfId="132" xr:uid="{E2BEFE38-F31F-42AC-8891-36DFB374A027}"/>
    <cellStyle name="Normal 6 5" xfId="431" xr:uid="{E7A6C356-6186-490B-B2D2-16CA0ADEA29D}"/>
    <cellStyle name="Normal 7" xfId="81" xr:uid="{D82C4653-8D3C-4A4F-826F-3A9BBC2DDA62}"/>
    <cellStyle name="Normal 7 2" xfId="201" xr:uid="{7004A73F-D33E-4834-8F78-E7A4D37D9125}"/>
    <cellStyle name="Normal 7 2 2" xfId="540" xr:uid="{0B667128-3913-46D8-AF13-289D83A9C2BD}"/>
    <cellStyle name="Normal 7 3" xfId="430" xr:uid="{086F7E86-C3E7-4D53-8393-B1F625267554}"/>
    <cellStyle name="Normal 8" xfId="86" xr:uid="{DA492138-2F02-42AA-B534-A13088D77FA5}"/>
    <cellStyle name="Normal 8 2" xfId="32" xr:uid="{77FA8736-5837-4E61-BDD6-F35C41E1A3DA}"/>
    <cellStyle name="Normal 9" xfId="88" xr:uid="{A406C231-95C9-47F0-9E90-17A23DB95524}"/>
    <cellStyle name="Note 2" xfId="97" xr:uid="{322C6FDA-CAE1-4941-AD01-2B118E56DCD9}"/>
    <cellStyle name="Note 2 2" xfId="212" xr:uid="{8241DC96-B5D4-4672-B2FA-88B2BCE335C3}"/>
    <cellStyle name="Note 2 2 2" xfId="551" xr:uid="{8E8B8F91-702B-4994-9E31-169B527A1FC9}"/>
    <cellStyle name="Note 2 3" xfId="441" xr:uid="{52D29047-D805-40B4-8780-ABB85E02D828}"/>
    <cellStyle name="Percent 2" xfId="98" xr:uid="{E7BE70BA-2C5D-4B4F-80B8-F607E72F7EB0}"/>
    <cellStyle name="Percent 2 2" xfId="169" xr:uid="{40AD209A-ECF9-4748-9F1F-6121BFE23302}"/>
    <cellStyle name="Percent 3" xfId="125" xr:uid="{CD9F2AE2-0A9B-4988-83AC-5769BFCD5827}"/>
    <cellStyle name="Percent 3 2" xfId="468" xr:uid="{109A8A70-84F1-4BB2-A91F-4B73A88B18B5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Age</a:t>
            </a:r>
            <a:r>
              <a:rPr lang="en-GB" baseline="0"/>
              <a:t> standardized all-cause mortality rate per 100k per week Vaccinated and Unvaccinated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 ASMR Mortality Charts'!$E$4</c:f>
              <c:strCache>
                <c:ptCount val="1"/>
                <c:pt idx="0">
                  <c:v>Unvaccinated Mortality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Charts'!$E$5:$E$30</c:f>
              <c:numCache>
                <c:formatCode>0.0</c:formatCode>
                <c:ptCount val="26"/>
                <c:pt idx="0">
                  <c:v>36.302781510000003</c:v>
                </c:pt>
                <c:pt idx="1">
                  <c:v>50.559231709999999</c:v>
                </c:pt>
                <c:pt idx="2">
                  <c:v>81.318403000000004</c:v>
                </c:pt>
                <c:pt idx="3">
                  <c:v>103.88415309999999</c:v>
                </c:pt>
                <c:pt idx="4">
                  <c:v>108.42834684</c:v>
                </c:pt>
                <c:pt idx="5">
                  <c:v>112.62682117</c:v>
                </c:pt>
                <c:pt idx="6">
                  <c:v>104.12897516999999</c:v>
                </c:pt>
                <c:pt idx="7">
                  <c:v>79.377318580000008</c:v>
                </c:pt>
                <c:pt idx="8">
                  <c:v>65.885689970000001</c:v>
                </c:pt>
                <c:pt idx="9">
                  <c:v>56.039162260000005</c:v>
                </c:pt>
                <c:pt idx="10">
                  <c:v>49.557685892999999</c:v>
                </c:pt>
                <c:pt idx="11">
                  <c:v>46.038930517000004</c:v>
                </c:pt>
                <c:pt idx="12">
                  <c:v>42.007698573000006</c:v>
                </c:pt>
                <c:pt idx="13">
                  <c:v>39.677670254999995</c:v>
                </c:pt>
                <c:pt idx="14">
                  <c:v>38.663880118999998</c:v>
                </c:pt>
                <c:pt idx="15">
                  <c:v>40.653214460999997</c:v>
                </c:pt>
                <c:pt idx="16">
                  <c:v>38.562253016</c:v>
                </c:pt>
                <c:pt idx="17">
                  <c:v>33.028738551000004</c:v>
                </c:pt>
                <c:pt idx="18">
                  <c:v>31.820284908999998</c:v>
                </c:pt>
                <c:pt idx="19">
                  <c:v>33.508526979999999</c:v>
                </c:pt>
                <c:pt idx="20">
                  <c:v>26.741871256</c:v>
                </c:pt>
                <c:pt idx="21">
                  <c:v>29.546190505999999</c:v>
                </c:pt>
                <c:pt idx="22">
                  <c:v>26.044215647999998</c:v>
                </c:pt>
                <c:pt idx="23">
                  <c:v>26.356926990999998</c:v>
                </c:pt>
                <c:pt idx="24">
                  <c:v>26.311702592000003</c:v>
                </c:pt>
                <c:pt idx="25">
                  <c:v>25.263540835000001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1-44AB-B588-791CFB6F41A7}"/>
            </c:ext>
          </c:extLst>
        </c:ser>
        <c:ser>
          <c:idx val="1"/>
          <c:order val="1"/>
          <c:tx>
            <c:strRef>
              <c:f>'All Cause ASMR Mortality Charts'!$P$4</c:f>
              <c:strCache>
                <c:ptCount val="1"/>
                <c:pt idx="0">
                  <c:v>Weighted Vaccinated Mortality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Charts'!$P$5:$P$30</c:f>
              <c:numCache>
                <c:formatCode>0.0</c:formatCode>
                <c:ptCount val="26"/>
                <c:pt idx="0">
                  <c:v>9.5655931780134029</c:v>
                </c:pt>
                <c:pt idx="1">
                  <c:v>12.603061148111987</c:v>
                </c:pt>
                <c:pt idx="2">
                  <c:v>13.973012527310702</c:v>
                </c:pt>
                <c:pt idx="3">
                  <c:v>15.94926654431632</c:v>
                </c:pt>
                <c:pt idx="4">
                  <c:v>17.68175985138291</c:v>
                </c:pt>
                <c:pt idx="5">
                  <c:v>19.057341326518355</c:v>
                </c:pt>
                <c:pt idx="6">
                  <c:v>22.592724288940111</c:v>
                </c:pt>
                <c:pt idx="7">
                  <c:v>25.720530851311672</c:v>
                </c:pt>
                <c:pt idx="8">
                  <c:v>27.571346389198002</c:v>
                </c:pt>
                <c:pt idx="9">
                  <c:v>26.177718049582214</c:v>
                </c:pt>
                <c:pt idx="10">
                  <c:v>27.34847347810604</c:v>
                </c:pt>
                <c:pt idx="11">
                  <c:v>23.842097940111103</c:v>
                </c:pt>
                <c:pt idx="12">
                  <c:v>25.661269853119116</c:v>
                </c:pt>
                <c:pt idx="13">
                  <c:v>27.497875462319055</c:v>
                </c:pt>
                <c:pt idx="14">
                  <c:v>34.796144334133778</c:v>
                </c:pt>
                <c:pt idx="15">
                  <c:v>41.45134866042546</c:v>
                </c:pt>
                <c:pt idx="16">
                  <c:v>45.483470175740564</c:v>
                </c:pt>
                <c:pt idx="17">
                  <c:v>48.393778170034892</c:v>
                </c:pt>
                <c:pt idx="18">
                  <c:v>46.170359422686658</c:v>
                </c:pt>
                <c:pt idx="19">
                  <c:v>39.600123047076067</c:v>
                </c:pt>
                <c:pt idx="20">
                  <c:v>36.735005691431752</c:v>
                </c:pt>
                <c:pt idx="21">
                  <c:v>31.989889625603404</c:v>
                </c:pt>
                <c:pt idx="22">
                  <c:v>29.475378313451337</c:v>
                </c:pt>
                <c:pt idx="23">
                  <c:v>27.388391836817672</c:v>
                </c:pt>
                <c:pt idx="24">
                  <c:v>26.795243317576851</c:v>
                </c:pt>
                <c:pt idx="25">
                  <c:v>26.100687538852139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41-44AB-B588-791CFB6F4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9678271"/>
        <c:axId val="969685343"/>
      </c:barChart>
      <c:catAx>
        <c:axId val="96967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685343"/>
        <c:crosses val="autoZero"/>
        <c:auto val="1"/>
        <c:lblAlgn val="ctr"/>
        <c:lblOffset val="100"/>
        <c:noMultiLvlLbl val="0"/>
      </c:catAx>
      <c:valAx>
        <c:axId val="969685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67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Age standardized all-cause mortality rate per 100k per week by vaccination category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 ASMR Mortality Charts'!$H$4</c:f>
              <c:strCache>
                <c:ptCount val="1"/>
                <c:pt idx="0">
                  <c:v>Within 21 days mortality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Charts'!$H$5:$H$30</c:f>
              <c:numCache>
                <c:formatCode>0.0</c:formatCode>
                <c:ptCount val="26"/>
                <c:pt idx="0">
                  <c:v>11.281308742</c:v>
                </c:pt>
                <c:pt idx="1">
                  <c:v>12.819834540999999</c:v>
                </c:pt>
                <c:pt idx="2">
                  <c:v>13.685044137</c:v>
                </c:pt>
                <c:pt idx="3">
                  <c:v>16.235677983000002</c:v>
                </c:pt>
                <c:pt idx="4">
                  <c:v>18.267648503</c:v>
                </c:pt>
                <c:pt idx="5">
                  <c:v>22.024912393000001</c:v>
                </c:pt>
                <c:pt idx="6">
                  <c:v>29.116374772</c:v>
                </c:pt>
                <c:pt idx="7">
                  <c:v>39.219470129999998</c:v>
                </c:pt>
                <c:pt idx="8">
                  <c:v>50.809659130999997</c:v>
                </c:pt>
                <c:pt idx="9">
                  <c:v>49.843234273</c:v>
                </c:pt>
                <c:pt idx="10">
                  <c:v>56.039466321000006</c:v>
                </c:pt>
                <c:pt idx="11">
                  <c:v>40.511267074000003</c:v>
                </c:pt>
                <c:pt idx="12">
                  <c:v>39.931248910000001</c:v>
                </c:pt>
                <c:pt idx="13">
                  <c:v>35.948213019999997</c:v>
                </c:pt>
                <c:pt idx="14">
                  <c:v>45.370718279999998</c:v>
                </c:pt>
                <c:pt idx="15">
                  <c:v>46.695777960000001</c:v>
                </c:pt>
                <c:pt idx="16">
                  <c:v>35.442833919999998</c:v>
                </c:pt>
                <c:pt idx="17">
                  <c:v>36.991169929999998</c:v>
                </c:pt>
                <c:pt idx="18">
                  <c:v>48.0571445</c:v>
                </c:pt>
                <c:pt idx="19">
                  <c:v>18.678727139999999</c:v>
                </c:pt>
                <c:pt idx="20">
                  <c:v>27.033407870000001</c:v>
                </c:pt>
                <c:pt idx="21">
                  <c:v>28.47817817</c:v>
                </c:pt>
                <c:pt idx="22">
                  <c:v>33.536608809999997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5CC-8B67-5DB33968A1B6}"/>
            </c:ext>
          </c:extLst>
        </c:ser>
        <c:ser>
          <c:idx val="1"/>
          <c:order val="1"/>
          <c:tx>
            <c:strRef>
              <c:f>'All Cause ASMR Mortality Charts'!$K$4</c:f>
              <c:strCache>
                <c:ptCount val="1"/>
                <c:pt idx="0">
                  <c:v>21 days or more mortality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Charts'!$K$5:$K$30</c:f>
              <c:numCache>
                <c:formatCode>0.0</c:formatCode>
                <c:ptCount val="26"/>
                <c:pt idx="0">
                  <c:v>10.802109097999999</c:v>
                </c:pt>
                <c:pt idx="1">
                  <c:v>21.9562527</c:v>
                </c:pt>
                <c:pt idx="2">
                  <c:v>21.794917810000001</c:v>
                </c:pt>
                <c:pt idx="3">
                  <c:v>19.101893021999999</c:v>
                </c:pt>
                <c:pt idx="4">
                  <c:v>18.284829296000002</c:v>
                </c:pt>
                <c:pt idx="5">
                  <c:v>16.382437564</c:v>
                </c:pt>
                <c:pt idx="6">
                  <c:v>17.287191417999999</c:v>
                </c:pt>
                <c:pt idx="7">
                  <c:v>17.078867593999998</c:v>
                </c:pt>
                <c:pt idx="8">
                  <c:v>16.600269193999999</c:v>
                </c:pt>
                <c:pt idx="9">
                  <c:v>18.209922646999999</c:v>
                </c:pt>
                <c:pt idx="10">
                  <c:v>18.097602419000001</c:v>
                </c:pt>
                <c:pt idx="11">
                  <c:v>19.666868996999998</c:v>
                </c:pt>
                <c:pt idx="12">
                  <c:v>25.198602914999999</c:v>
                </c:pt>
                <c:pt idx="13">
                  <c:v>33.430478266999998</c:v>
                </c:pt>
                <c:pt idx="14">
                  <c:v>47.424784741000003</c:v>
                </c:pt>
                <c:pt idx="15">
                  <c:v>63.55004623</c:v>
                </c:pt>
                <c:pt idx="16">
                  <c:v>79.142194287000009</c:v>
                </c:pt>
                <c:pt idx="17">
                  <c:v>93.952856425000007</c:v>
                </c:pt>
                <c:pt idx="18">
                  <c:v>98.782000288999996</c:v>
                </c:pt>
                <c:pt idx="19">
                  <c:v>98.849633717000003</c:v>
                </c:pt>
                <c:pt idx="20">
                  <c:v>108.295224171</c:v>
                </c:pt>
                <c:pt idx="21">
                  <c:v>100.723915984</c:v>
                </c:pt>
                <c:pt idx="22">
                  <c:v>99.136279033000008</c:v>
                </c:pt>
                <c:pt idx="23">
                  <c:v>95.976347809999993</c:v>
                </c:pt>
                <c:pt idx="24">
                  <c:v>95.237917929999995</c:v>
                </c:pt>
                <c:pt idx="25">
                  <c:v>89.349847393999994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5CC-8B67-5DB33968A1B6}"/>
            </c:ext>
          </c:extLst>
        </c:ser>
        <c:ser>
          <c:idx val="2"/>
          <c:order val="2"/>
          <c:tx>
            <c:strRef>
              <c:f>'All Cause ASMR Mortality Charts'!$N$4</c:f>
              <c:strCache>
                <c:ptCount val="1"/>
                <c:pt idx="0">
                  <c:v>Second dose mortality 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Charts'!$N$5:$N$30</c:f>
              <c:numCache>
                <c:formatCode>0.0</c:formatCode>
                <c:ptCount val="26"/>
                <c:pt idx="0">
                  <c:v>1.4650133830000001</c:v>
                </c:pt>
                <c:pt idx="1">
                  <c:v>3.6112247630000001</c:v>
                </c:pt>
                <c:pt idx="2">
                  <c:v>5.5727030730000005</c:v>
                </c:pt>
                <c:pt idx="3">
                  <c:v>3.7741473710000002</c:v>
                </c:pt>
                <c:pt idx="4">
                  <c:v>6.5680164269999999</c:v>
                </c:pt>
                <c:pt idx="5">
                  <c:v>5.1757890790000003</c:v>
                </c:pt>
                <c:pt idx="6">
                  <c:v>8.0357333889999989</c:v>
                </c:pt>
                <c:pt idx="7">
                  <c:v>5.8840064600000002</c:v>
                </c:pt>
                <c:pt idx="8">
                  <c:v>7.796158395</c:v>
                </c:pt>
                <c:pt idx="9">
                  <c:v>8.1165660889999991</c:v>
                </c:pt>
                <c:pt idx="10">
                  <c:v>7.039687121</c:v>
                </c:pt>
                <c:pt idx="11">
                  <c:v>7.5331971959999997</c:v>
                </c:pt>
                <c:pt idx="12">
                  <c:v>7.4949593370000001</c:v>
                </c:pt>
                <c:pt idx="13">
                  <c:v>7.5231101199999992</c:v>
                </c:pt>
                <c:pt idx="14">
                  <c:v>8.406395367</c:v>
                </c:pt>
                <c:pt idx="15">
                  <c:v>9.4272619639999995</c:v>
                </c:pt>
                <c:pt idx="16">
                  <c:v>10.387010043</c:v>
                </c:pt>
                <c:pt idx="17">
                  <c:v>11.825595716</c:v>
                </c:pt>
                <c:pt idx="18">
                  <c:v>12.749560414999999</c:v>
                </c:pt>
                <c:pt idx="19">
                  <c:v>13.385249552000001</c:v>
                </c:pt>
                <c:pt idx="20">
                  <c:v>13.201777461000001</c:v>
                </c:pt>
                <c:pt idx="21">
                  <c:v>13.721403286999999</c:v>
                </c:pt>
                <c:pt idx="22">
                  <c:v>13.773644484</c:v>
                </c:pt>
                <c:pt idx="23">
                  <c:v>13.749580347</c:v>
                </c:pt>
                <c:pt idx="24">
                  <c:v>14.008039148</c:v>
                </c:pt>
                <c:pt idx="25">
                  <c:v>14.740507317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E-45CC-8B67-5DB33968A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2802335"/>
        <c:axId val="1142795263"/>
      </c:barChart>
      <c:catAx>
        <c:axId val="1142802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795263"/>
        <c:crosses val="autoZero"/>
        <c:auto val="1"/>
        <c:lblAlgn val="ctr"/>
        <c:lblOffset val="100"/>
        <c:noMultiLvlLbl val="0"/>
      </c:catAx>
      <c:valAx>
        <c:axId val="114279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802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 ASMR Mortality Charts'!$H$4</c:f>
              <c:strCache>
                <c:ptCount val="1"/>
                <c:pt idx="0">
                  <c:v>Within 21 days mortality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Charts'!$H$5:$H$30</c:f>
              <c:numCache>
                <c:formatCode>0.0</c:formatCode>
                <c:ptCount val="26"/>
                <c:pt idx="0">
                  <c:v>11.281308742</c:v>
                </c:pt>
                <c:pt idx="1">
                  <c:v>12.819834540999999</c:v>
                </c:pt>
                <c:pt idx="2">
                  <c:v>13.685044137</c:v>
                </c:pt>
                <c:pt idx="3">
                  <c:v>16.235677983000002</c:v>
                </c:pt>
                <c:pt idx="4">
                  <c:v>18.267648503</c:v>
                </c:pt>
                <c:pt idx="5">
                  <c:v>22.024912393000001</c:v>
                </c:pt>
                <c:pt idx="6">
                  <c:v>29.116374772</c:v>
                </c:pt>
                <c:pt idx="7">
                  <c:v>39.219470129999998</c:v>
                </c:pt>
                <c:pt idx="8">
                  <c:v>50.809659130999997</c:v>
                </c:pt>
                <c:pt idx="9">
                  <c:v>49.843234273</c:v>
                </c:pt>
                <c:pt idx="10">
                  <c:v>56.039466321000006</c:v>
                </c:pt>
                <c:pt idx="11">
                  <c:v>40.511267074000003</c:v>
                </c:pt>
                <c:pt idx="12">
                  <c:v>39.931248910000001</c:v>
                </c:pt>
                <c:pt idx="13">
                  <c:v>35.948213019999997</c:v>
                </c:pt>
                <c:pt idx="14">
                  <c:v>45.370718279999998</c:v>
                </c:pt>
                <c:pt idx="15">
                  <c:v>46.695777960000001</c:v>
                </c:pt>
                <c:pt idx="16">
                  <c:v>35.442833919999998</c:v>
                </c:pt>
                <c:pt idx="17">
                  <c:v>36.991169929999998</c:v>
                </c:pt>
                <c:pt idx="18">
                  <c:v>48.0571445</c:v>
                </c:pt>
                <c:pt idx="19">
                  <c:v>18.678727139999999</c:v>
                </c:pt>
                <c:pt idx="20">
                  <c:v>27.033407870000001</c:v>
                </c:pt>
                <c:pt idx="21">
                  <c:v>28.47817817</c:v>
                </c:pt>
                <c:pt idx="22">
                  <c:v>33.536608809999997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8-4DA6-B7DE-37676DE9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669743"/>
        <c:axId val="1097673487"/>
      </c:barChart>
      <c:catAx>
        <c:axId val="109766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73487"/>
        <c:crosses val="autoZero"/>
        <c:auto val="1"/>
        <c:lblAlgn val="ctr"/>
        <c:lblOffset val="100"/>
        <c:noMultiLvlLbl val="0"/>
      </c:catAx>
      <c:valAx>
        <c:axId val="109767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9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 ASMR Mortality Charts'!$K$4</c:f>
              <c:strCache>
                <c:ptCount val="1"/>
                <c:pt idx="0">
                  <c:v>21 days or more mortality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Charts'!$K$5:$K$30</c:f>
              <c:numCache>
                <c:formatCode>0.0</c:formatCode>
                <c:ptCount val="26"/>
                <c:pt idx="0">
                  <c:v>10.802109097999999</c:v>
                </c:pt>
                <c:pt idx="1">
                  <c:v>21.9562527</c:v>
                </c:pt>
                <c:pt idx="2">
                  <c:v>21.794917810000001</c:v>
                </c:pt>
                <c:pt idx="3">
                  <c:v>19.101893021999999</c:v>
                </c:pt>
                <c:pt idx="4">
                  <c:v>18.284829296000002</c:v>
                </c:pt>
                <c:pt idx="5">
                  <c:v>16.382437564</c:v>
                </c:pt>
                <c:pt idx="6">
                  <c:v>17.287191417999999</c:v>
                </c:pt>
                <c:pt idx="7">
                  <c:v>17.078867593999998</c:v>
                </c:pt>
                <c:pt idx="8">
                  <c:v>16.600269193999999</c:v>
                </c:pt>
                <c:pt idx="9">
                  <c:v>18.209922646999999</c:v>
                </c:pt>
                <c:pt idx="10">
                  <c:v>18.097602419000001</c:v>
                </c:pt>
                <c:pt idx="11">
                  <c:v>19.666868996999998</c:v>
                </c:pt>
                <c:pt idx="12">
                  <c:v>25.198602914999999</c:v>
                </c:pt>
                <c:pt idx="13">
                  <c:v>33.430478266999998</c:v>
                </c:pt>
                <c:pt idx="14">
                  <c:v>47.424784741000003</c:v>
                </c:pt>
                <c:pt idx="15">
                  <c:v>63.55004623</c:v>
                </c:pt>
                <c:pt idx="16">
                  <c:v>79.142194287000009</c:v>
                </c:pt>
                <c:pt idx="17">
                  <c:v>93.952856425000007</c:v>
                </c:pt>
                <c:pt idx="18">
                  <c:v>98.782000288999996</c:v>
                </c:pt>
                <c:pt idx="19">
                  <c:v>98.849633717000003</c:v>
                </c:pt>
                <c:pt idx="20">
                  <c:v>108.295224171</c:v>
                </c:pt>
                <c:pt idx="21">
                  <c:v>100.723915984</c:v>
                </c:pt>
                <c:pt idx="22">
                  <c:v>99.136279033000008</c:v>
                </c:pt>
                <c:pt idx="23">
                  <c:v>95.976347809999993</c:v>
                </c:pt>
                <c:pt idx="24">
                  <c:v>95.237917929999995</c:v>
                </c:pt>
                <c:pt idx="25">
                  <c:v>89.349847393999994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1-4A84-B9F7-AC7CA7DBC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512895"/>
        <c:axId val="967511647"/>
      </c:barChart>
      <c:catAx>
        <c:axId val="96751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11647"/>
        <c:crosses val="autoZero"/>
        <c:auto val="1"/>
        <c:lblAlgn val="ctr"/>
        <c:lblOffset val="100"/>
        <c:noMultiLvlLbl val="0"/>
      </c:catAx>
      <c:valAx>
        <c:axId val="967511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1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 ASMR Mortality Charts'!$N$4</c:f>
              <c:strCache>
                <c:ptCount val="1"/>
                <c:pt idx="0">
                  <c:v>Second dose mortality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'All Cause ASMR Mortality Charts'!$B$5:$B$30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'All Cause ASMR Mortality Charts'!$N$5:$N$30</c:f>
              <c:numCache>
                <c:formatCode>0.0</c:formatCode>
                <c:ptCount val="26"/>
                <c:pt idx="0">
                  <c:v>1.4650133830000001</c:v>
                </c:pt>
                <c:pt idx="1">
                  <c:v>3.6112247630000001</c:v>
                </c:pt>
                <c:pt idx="2">
                  <c:v>5.5727030730000005</c:v>
                </c:pt>
                <c:pt idx="3">
                  <c:v>3.7741473710000002</c:v>
                </c:pt>
                <c:pt idx="4">
                  <c:v>6.5680164269999999</c:v>
                </c:pt>
                <c:pt idx="5">
                  <c:v>5.1757890790000003</c:v>
                </c:pt>
                <c:pt idx="6">
                  <c:v>8.0357333889999989</c:v>
                </c:pt>
                <c:pt idx="7">
                  <c:v>5.8840064600000002</c:v>
                </c:pt>
                <c:pt idx="8">
                  <c:v>7.796158395</c:v>
                </c:pt>
                <c:pt idx="9">
                  <c:v>8.1165660889999991</c:v>
                </c:pt>
                <c:pt idx="10">
                  <c:v>7.039687121</c:v>
                </c:pt>
                <c:pt idx="11">
                  <c:v>7.5331971959999997</c:v>
                </c:pt>
                <c:pt idx="12">
                  <c:v>7.4949593370000001</c:v>
                </c:pt>
                <c:pt idx="13">
                  <c:v>7.5231101199999992</c:v>
                </c:pt>
                <c:pt idx="14">
                  <c:v>8.406395367</c:v>
                </c:pt>
                <c:pt idx="15">
                  <c:v>9.4272619639999995</c:v>
                </c:pt>
                <c:pt idx="16">
                  <c:v>10.387010043</c:v>
                </c:pt>
                <c:pt idx="17">
                  <c:v>11.825595716</c:v>
                </c:pt>
                <c:pt idx="18">
                  <c:v>12.749560414999999</c:v>
                </c:pt>
                <c:pt idx="19">
                  <c:v>13.385249552000001</c:v>
                </c:pt>
                <c:pt idx="20">
                  <c:v>13.201777461000001</c:v>
                </c:pt>
                <c:pt idx="21">
                  <c:v>13.721403286999999</c:v>
                </c:pt>
                <c:pt idx="22">
                  <c:v>13.773644484</c:v>
                </c:pt>
                <c:pt idx="23">
                  <c:v>13.749580347</c:v>
                </c:pt>
                <c:pt idx="24">
                  <c:v>14.008039148</c:v>
                </c:pt>
                <c:pt idx="25">
                  <c:v>14.740507317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9-4269-8458-8B00E4AF6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9144095"/>
        <c:axId val="1099145759"/>
      </c:barChart>
      <c:catAx>
        <c:axId val="1099144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145759"/>
        <c:crosses val="autoZero"/>
        <c:auto val="1"/>
        <c:lblAlgn val="ctr"/>
        <c:lblOffset val="100"/>
        <c:noMultiLvlLbl val="0"/>
      </c:catAx>
      <c:valAx>
        <c:axId val="1099145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14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Age standardized all-cause mortality rate per 100k per week Vaccinated and Unvaccinated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Cause ASMR Mortality Charts'!$E$4</c:f>
              <c:strCache>
                <c:ptCount val="1"/>
                <c:pt idx="0">
                  <c:v>Unvaccinated Mortality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'All Cause ASMR Mortality Charts'!$E$5:$E$30</c:f>
              <c:numCache>
                <c:formatCode>0.0</c:formatCode>
                <c:ptCount val="26"/>
                <c:pt idx="0">
                  <c:v>36.302781510000003</c:v>
                </c:pt>
                <c:pt idx="1">
                  <c:v>50.559231709999999</c:v>
                </c:pt>
                <c:pt idx="2">
                  <c:v>81.318403000000004</c:v>
                </c:pt>
                <c:pt idx="3">
                  <c:v>103.88415309999999</c:v>
                </c:pt>
                <c:pt idx="4">
                  <c:v>108.42834684</c:v>
                </c:pt>
                <c:pt idx="5">
                  <c:v>112.62682117</c:v>
                </c:pt>
                <c:pt idx="6">
                  <c:v>104.12897516999999</c:v>
                </c:pt>
                <c:pt idx="7">
                  <c:v>79.377318580000008</c:v>
                </c:pt>
                <c:pt idx="8">
                  <c:v>65.885689970000001</c:v>
                </c:pt>
                <c:pt idx="9">
                  <c:v>56.039162260000005</c:v>
                </c:pt>
                <c:pt idx="10">
                  <c:v>49.557685892999999</c:v>
                </c:pt>
                <c:pt idx="11">
                  <c:v>46.038930517000004</c:v>
                </c:pt>
                <c:pt idx="12">
                  <c:v>42.007698573000006</c:v>
                </c:pt>
                <c:pt idx="13">
                  <c:v>39.677670254999995</c:v>
                </c:pt>
                <c:pt idx="14">
                  <c:v>38.663880118999998</c:v>
                </c:pt>
                <c:pt idx="15">
                  <c:v>40.653214460999997</c:v>
                </c:pt>
                <c:pt idx="16">
                  <c:v>38.562253016</c:v>
                </c:pt>
                <c:pt idx="17">
                  <c:v>33.028738551000004</c:v>
                </c:pt>
                <c:pt idx="18">
                  <c:v>31.820284908999998</c:v>
                </c:pt>
                <c:pt idx="19">
                  <c:v>33.508526979999999</c:v>
                </c:pt>
                <c:pt idx="20">
                  <c:v>26.741871256</c:v>
                </c:pt>
                <c:pt idx="21">
                  <c:v>29.546190505999999</c:v>
                </c:pt>
                <c:pt idx="22">
                  <c:v>26.044215647999998</c:v>
                </c:pt>
                <c:pt idx="23">
                  <c:v>26.356926990999998</c:v>
                </c:pt>
                <c:pt idx="24">
                  <c:v>26.311702592000003</c:v>
                </c:pt>
                <c:pt idx="25">
                  <c:v>25.263540835000001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2-4B68-8A12-D81C04CD8086}"/>
            </c:ext>
          </c:extLst>
        </c:ser>
        <c:ser>
          <c:idx val="1"/>
          <c:order val="1"/>
          <c:tx>
            <c:strRef>
              <c:f>'All Cause ASMR Mortality Charts'!$H$4</c:f>
              <c:strCache>
                <c:ptCount val="1"/>
                <c:pt idx="0">
                  <c:v>Within 21 days mortality rate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'All Cause ASMR Mortality Charts'!$H$5:$H$30</c:f>
              <c:numCache>
                <c:formatCode>0.0</c:formatCode>
                <c:ptCount val="26"/>
                <c:pt idx="0">
                  <c:v>11.281308742</c:v>
                </c:pt>
                <c:pt idx="1">
                  <c:v>12.819834540999999</c:v>
                </c:pt>
                <c:pt idx="2">
                  <c:v>13.685044137</c:v>
                </c:pt>
                <c:pt idx="3">
                  <c:v>16.235677983000002</c:v>
                </c:pt>
                <c:pt idx="4">
                  <c:v>18.267648503</c:v>
                </c:pt>
                <c:pt idx="5">
                  <c:v>22.024912393000001</c:v>
                </c:pt>
                <c:pt idx="6">
                  <c:v>29.116374772</c:v>
                </c:pt>
                <c:pt idx="7">
                  <c:v>39.219470129999998</c:v>
                </c:pt>
                <c:pt idx="8">
                  <c:v>50.809659130999997</c:v>
                </c:pt>
                <c:pt idx="9">
                  <c:v>49.843234273</c:v>
                </c:pt>
                <c:pt idx="10">
                  <c:v>56.039466321000006</c:v>
                </c:pt>
                <c:pt idx="11">
                  <c:v>40.511267074000003</c:v>
                </c:pt>
                <c:pt idx="12">
                  <c:v>39.931248910000001</c:v>
                </c:pt>
                <c:pt idx="13">
                  <c:v>35.948213019999997</c:v>
                </c:pt>
                <c:pt idx="14">
                  <c:v>45.370718279999998</c:v>
                </c:pt>
                <c:pt idx="15">
                  <c:v>46.695777960000001</c:v>
                </c:pt>
                <c:pt idx="16">
                  <c:v>35.442833919999998</c:v>
                </c:pt>
                <c:pt idx="17">
                  <c:v>36.991169929999998</c:v>
                </c:pt>
                <c:pt idx="18">
                  <c:v>48.0571445</c:v>
                </c:pt>
                <c:pt idx="19">
                  <c:v>18.678727139999999</c:v>
                </c:pt>
                <c:pt idx="20">
                  <c:v>27.033407870000001</c:v>
                </c:pt>
                <c:pt idx="21">
                  <c:v>28.47817817</c:v>
                </c:pt>
                <c:pt idx="22">
                  <c:v>33.536608809999997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C2-4B68-8A12-D81C04CD8086}"/>
            </c:ext>
          </c:extLst>
        </c:ser>
        <c:ser>
          <c:idx val="2"/>
          <c:order val="2"/>
          <c:tx>
            <c:strRef>
              <c:f>'All Cause ASMR Mortality Charts'!$K$4</c:f>
              <c:strCache>
                <c:ptCount val="1"/>
                <c:pt idx="0">
                  <c:v>21 days or more mortality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'All Cause ASMR Mortality Charts'!$K$5:$K$30</c:f>
              <c:numCache>
                <c:formatCode>0.0</c:formatCode>
                <c:ptCount val="26"/>
                <c:pt idx="0">
                  <c:v>10.802109097999999</c:v>
                </c:pt>
                <c:pt idx="1">
                  <c:v>21.9562527</c:v>
                </c:pt>
                <c:pt idx="2">
                  <c:v>21.794917810000001</c:v>
                </c:pt>
                <c:pt idx="3">
                  <c:v>19.101893021999999</c:v>
                </c:pt>
                <c:pt idx="4">
                  <c:v>18.284829296000002</c:v>
                </c:pt>
                <c:pt idx="5">
                  <c:v>16.382437564</c:v>
                </c:pt>
                <c:pt idx="6">
                  <c:v>17.287191417999999</c:v>
                </c:pt>
                <c:pt idx="7">
                  <c:v>17.078867593999998</c:v>
                </c:pt>
                <c:pt idx="8">
                  <c:v>16.600269193999999</c:v>
                </c:pt>
                <c:pt idx="9">
                  <c:v>18.209922646999999</c:v>
                </c:pt>
                <c:pt idx="10">
                  <c:v>18.097602419000001</c:v>
                </c:pt>
                <c:pt idx="11">
                  <c:v>19.666868996999998</c:v>
                </c:pt>
                <c:pt idx="12">
                  <c:v>25.198602914999999</c:v>
                </c:pt>
                <c:pt idx="13">
                  <c:v>33.430478266999998</c:v>
                </c:pt>
                <c:pt idx="14">
                  <c:v>47.424784741000003</c:v>
                </c:pt>
                <c:pt idx="15">
                  <c:v>63.55004623</c:v>
                </c:pt>
                <c:pt idx="16">
                  <c:v>79.142194287000009</c:v>
                </c:pt>
                <c:pt idx="17">
                  <c:v>93.952856425000007</c:v>
                </c:pt>
                <c:pt idx="18">
                  <c:v>98.782000288999996</c:v>
                </c:pt>
                <c:pt idx="19">
                  <c:v>98.849633717000003</c:v>
                </c:pt>
                <c:pt idx="20">
                  <c:v>108.295224171</c:v>
                </c:pt>
                <c:pt idx="21">
                  <c:v>100.723915984</c:v>
                </c:pt>
                <c:pt idx="22">
                  <c:v>99.136279033000008</c:v>
                </c:pt>
                <c:pt idx="23">
                  <c:v>95.976347809999993</c:v>
                </c:pt>
                <c:pt idx="24">
                  <c:v>95.237917929999995</c:v>
                </c:pt>
                <c:pt idx="25">
                  <c:v>89.349847393999994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C2-4B68-8A12-D81C04CD8086}"/>
            </c:ext>
          </c:extLst>
        </c:ser>
        <c:ser>
          <c:idx val="3"/>
          <c:order val="3"/>
          <c:tx>
            <c:strRef>
              <c:f>'All Cause ASMR Mortality Charts'!$N$4</c:f>
              <c:strCache>
                <c:ptCount val="1"/>
                <c:pt idx="0">
                  <c:v>Second dose mortality rate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'All Cause ASMR Mortality Charts'!$N$5:$N$30</c:f>
              <c:numCache>
                <c:formatCode>0.0</c:formatCode>
                <c:ptCount val="26"/>
                <c:pt idx="0">
                  <c:v>1.4650133830000001</c:v>
                </c:pt>
                <c:pt idx="1">
                  <c:v>3.6112247630000001</c:v>
                </c:pt>
                <c:pt idx="2">
                  <c:v>5.5727030730000005</c:v>
                </c:pt>
                <c:pt idx="3">
                  <c:v>3.7741473710000002</c:v>
                </c:pt>
                <c:pt idx="4">
                  <c:v>6.5680164269999999</c:v>
                </c:pt>
                <c:pt idx="5">
                  <c:v>5.1757890790000003</c:v>
                </c:pt>
                <c:pt idx="6">
                  <c:v>8.0357333889999989</c:v>
                </c:pt>
                <c:pt idx="7">
                  <c:v>5.8840064600000002</c:v>
                </c:pt>
                <c:pt idx="8">
                  <c:v>7.796158395</c:v>
                </c:pt>
                <c:pt idx="9">
                  <c:v>8.1165660889999991</c:v>
                </c:pt>
                <c:pt idx="10">
                  <c:v>7.039687121</c:v>
                </c:pt>
                <c:pt idx="11">
                  <c:v>7.5331971959999997</c:v>
                </c:pt>
                <c:pt idx="12">
                  <c:v>7.4949593370000001</c:v>
                </c:pt>
                <c:pt idx="13">
                  <c:v>7.5231101199999992</c:v>
                </c:pt>
                <c:pt idx="14">
                  <c:v>8.406395367</c:v>
                </c:pt>
                <c:pt idx="15">
                  <c:v>9.4272619639999995</c:v>
                </c:pt>
                <c:pt idx="16">
                  <c:v>10.387010043</c:v>
                </c:pt>
                <c:pt idx="17">
                  <c:v>11.825595716</c:v>
                </c:pt>
                <c:pt idx="18">
                  <c:v>12.749560414999999</c:v>
                </c:pt>
                <c:pt idx="19">
                  <c:v>13.385249552000001</c:v>
                </c:pt>
                <c:pt idx="20">
                  <c:v>13.201777461000001</c:v>
                </c:pt>
                <c:pt idx="21">
                  <c:v>13.721403286999999</c:v>
                </c:pt>
                <c:pt idx="22">
                  <c:v>13.773644484</c:v>
                </c:pt>
                <c:pt idx="23">
                  <c:v>13.749580347</c:v>
                </c:pt>
                <c:pt idx="24">
                  <c:v>14.008039148</c:v>
                </c:pt>
                <c:pt idx="25">
                  <c:v>14.740507317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2-4B68-8A12-D81C04CD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1148735"/>
        <c:axId val="1111148319"/>
      </c:barChart>
      <c:catAx>
        <c:axId val="1111148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148319"/>
        <c:crosses val="autoZero"/>
        <c:auto val="1"/>
        <c:lblAlgn val="ctr"/>
        <c:lblOffset val="100"/>
        <c:noMultiLvlLbl val="0"/>
      </c:catAx>
      <c:valAx>
        <c:axId val="111114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148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Raw mortality rates per 100k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'[1]raw mortality analysis'!$S$5</c:f>
              <c:strCache>
                <c:ptCount val="1"/>
                <c:pt idx="0">
                  <c:v>unvaccinated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'[1]raw mortality analysis'!$B$6:$B$31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'[1]raw mortality analysis'!$S$6:$S$31</c:f>
              <c:numCache>
                <c:formatCode>General</c:formatCode>
                <c:ptCount val="26"/>
                <c:pt idx="0">
                  <c:v>32.272002403153181</c:v>
                </c:pt>
                <c:pt idx="1">
                  <c:v>35.575166829976283</c:v>
                </c:pt>
                <c:pt idx="2">
                  <c:v>36.306681258428952</c:v>
                </c:pt>
                <c:pt idx="3">
                  <c:v>30.728312685522305</c:v>
                </c:pt>
                <c:pt idx="4">
                  <c:v>24.577168681139778</c:v>
                </c:pt>
                <c:pt idx="5">
                  <c:v>20.109605643377289</c:v>
                </c:pt>
                <c:pt idx="6">
                  <c:v>17.105844326604185</c:v>
                </c:pt>
                <c:pt idx="7">
                  <c:v>12.647782610150013</c:v>
                </c:pt>
                <c:pt idx="8">
                  <c:v>10.476753206693356</c:v>
                </c:pt>
                <c:pt idx="9">
                  <c:v>8.9304292887141994</c:v>
                </c:pt>
                <c:pt idx="10">
                  <c:v>7.956639135409536</c:v>
                </c:pt>
                <c:pt idx="11">
                  <c:v>7.365131556318361</c:v>
                </c:pt>
                <c:pt idx="12">
                  <c:v>6.4733990326245374</c:v>
                </c:pt>
                <c:pt idx="13">
                  <c:v>5.9136818246968907</c:v>
                </c:pt>
                <c:pt idx="14">
                  <c:v>5.6090059844104685</c:v>
                </c:pt>
                <c:pt idx="15">
                  <c:v>5.2803173564910511</c:v>
                </c:pt>
                <c:pt idx="16">
                  <c:v>4.7842311740503298</c:v>
                </c:pt>
                <c:pt idx="17">
                  <c:v>4.1448041553424693</c:v>
                </c:pt>
                <c:pt idx="18">
                  <c:v>4.1452590422368569</c:v>
                </c:pt>
                <c:pt idx="19">
                  <c:v>4.5451632317657555</c:v>
                </c:pt>
                <c:pt idx="20">
                  <c:v>3.8049772526165637</c:v>
                </c:pt>
                <c:pt idx="21">
                  <c:v>4.2083975822108446</c:v>
                </c:pt>
                <c:pt idx="22">
                  <c:v>3.8273413186415595</c:v>
                </c:pt>
                <c:pt idx="23">
                  <c:v>4.2019901208568928</c:v>
                </c:pt>
                <c:pt idx="24">
                  <c:v>4.5429312434269464</c:v>
                </c:pt>
                <c:pt idx="25">
                  <c:v>4.5743715170252655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F-4ACC-AD11-4BCC8CF07F5A}"/>
            </c:ext>
          </c:extLst>
        </c:ser>
        <c:ser>
          <c:idx val="3"/>
          <c:order val="1"/>
          <c:tx>
            <c:strRef>
              <c:f>'All Cause Raw Mortality Charts'!$T$4</c:f>
              <c:strCache>
                <c:ptCount val="1"/>
                <c:pt idx="0">
                  <c:v>within 21 days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'All Cause Raw Mortality Charts'!$T$5:$T$30</c:f>
              <c:numCache>
                <c:formatCode>0.00</c:formatCode>
                <c:ptCount val="26"/>
                <c:pt idx="0">
                  <c:v>44.612033741707165</c:v>
                </c:pt>
                <c:pt idx="1">
                  <c:v>47.344580396215846</c:v>
                </c:pt>
                <c:pt idx="2">
                  <c:v>52.635542706802717</c:v>
                </c:pt>
                <c:pt idx="3">
                  <c:v>61.156570011097649</c:v>
                </c:pt>
                <c:pt idx="4">
                  <c:v>49.238145161979503</c:v>
                </c:pt>
                <c:pt idx="5">
                  <c:v>33.600555832923611</c:v>
                </c:pt>
                <c:pt idx="6">
                  <c:v>26.218862336170396</c:v>
                </c:pt>
                <c:pt idx="7">
                  <c:v>21.936323823247463</c:v>
                </c:pt>
                <c:pt idx="8">
                  <c:v>14.74894809571893</c:v>
                </c:pt>
                <c:pt idx="9">
                  <c:v>10.495864695321771</c:v>
                </c:pt>
                <c:pt idx="10">
                  <c:v>6.652627510673903</c:v>
                </c:pt>
                <c:pt idx="11">
                  <c:v>4.5597813785459369</c:v>
                </c:pt>
                <c:pt idx="12">
                  <c:v>3.7702120496738765</c:v>
                </c:pt>
                <c:pt idx="13">
                  <c:v>4.1418634960130669</c:v>
                </c:pt>
                <c:pt idx="14">
                  <c:v>5.7683502638419375</c:v>
                </c:pt>
                <c:pt idx="15">
                  <c:v>4.3573509901848348</c:v>
                </c:pt>
                <c:pt idx="16">
                  <c:v>2.4352665561596818</c:v>
                </c:pt>
                <c:pt idx="17">
                  <c:v>2.4495122130452112</c:v>
                </c:pt>
                <c:pt idx="18">
                  <c:v>2.0230738314051191</c:v>
                </c:pt>
                <c:pt idx="19">
                  <c:v>0.67786747065224928</c:v>
                </c:pt>
                <c:pt idx="20">
                  <c:v>1.062353695420424</c:v>
                </c:pt>
                <c:pt idx="21">
                  <c:v>0.88499404104012369</c:v>
                </c:pt>
                <c:pt idx="22">
                  <c:v>0.83027469361480011</c:v>
                </c:pt>
                <c:pt idx="23">
                  <c:v>0.4810465006272312</c:v>
                </c:pt>
                <c:pt idx="24">
                  <c:v>0.36012984481554827</c:v>
                </c:pt>
                <c:pt idx="25">
                  <c:v>0.360723683854549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F-4ACC-AD11-4BCC8CF07F5A}"/>
            </c:ext>
          </c:extLst>
        </c:ser>
        <c:ser>
          <c:idx val="1"/>
          <c:order val="2"/>
          <c:tx>
            <c:strRef>
              <c:f>'[1]raw mortality analysis'!$U$5</c:f>
              <c:strCache>
                <c:ptCount val="1"/>
                <c:pt idx="0">
                  <c:v>21 days or more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'[1]raw mortality analysis'!$B$6:$B$31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'[1]raw mortality analysis'!$U$6:$U$31</c:f>
              <c:numCache>
                <c:formatCode>General</c:formatCode>
                <c:ptCount val="26"/>
                <c:pt idx="0">
                  <c:v>88.469808278086361</c:v>
                </c:pt>
                <c:pt idx="1">
                  <c:v>112.63173890890238</c:v>
                </c:pt>
                <c:pt idx="2">
                  <c:v>97.978556893291</c:v>
                </c:pt>
                <c:pt idx="3">
                  <c:v>77.092433915770613</c:v>
                </c:pt>
                <c:pt idx="4">
                  <c:v>78.522568312360207</c:v>
                </c:pt>
                <c:pt idx="5">
                  <c:v>69.275458791053325</c:v>
                </c:pt>
                <c:pt idx="6">
                  <c:v>66.238467171019238</c:v>
                </c:pt>
                <c:pt idx="7">
                  <c:v>57.000280587239793</c:v>
                </c:pt>
                <c:pt idx="8">
                  <c:v>46.812019101775718</c:v>
                </c:pt>
                <c:pt idx="9">
                  <c:v>45.522364732758625</c:v>
                </c:pt>
                <c:pt idx="10">
                  <c:v>40.467129172819376</c:v>
                </c:pt>
                <c:pt idx="11">
                  <c:v>37.700710250843329</c:v>
                </c:pt>
                <c:pt idx="12">
                  <c:v>35.897770251821598</c:v>
                </c:pt>
                <c:pt idx="13">
                  <c:v>31.144879654989936</c:v>
                </c:pt>
                <c:pt idx="14">
                  <c:v>27.617035958046113</c:v>
                </c:pt>
                <c:pt idx="15">
                  <c:v>25.688056580922723</c:v>
                </c:pt>
                <c:pt idx="16">
                  <c:v>23.737049225784983</c:v>
                </c:pt>
                <c:pt idx="17">
                  <c:v>22.148317526438952</c:v>
                </c:pt>
                <c:pt idx="18">
                  <c:v>20.494573683620949</c:v>
                </c:pt>
                <c:pt idx="19">
                  <c:v>18.795540564896111</c:v>
                </c:pt>
                <c:pt idx="20">
                  <c:v>20.368584638778092</c:v>
                </c:pt>
                <c:pt idx="21">
                  <c:v>19.164145523136888</c:v>
                </c:pt>
                <c:pt idx="22">
                  <c:v>18.52810972777467</c:v>
                </c:pt>
                <c:pt idx="23">
                  <c:v>16.249348999044667</c:v>
                </c:pt>
                <c:pt idx="24">
                  <c:v>15.158022383346387</c:v>
                </c:pt>
                <c:pt idx="25">
                  <c:v>13.56699455958741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F-4ACC-AD11-4BCC8CF07F5A}"/>
            </c:ext>
          </c:extLst>
        </c:ser>
        <c:ser>
          <c:idx val="2"/>
          <c:order val="3"/>
          <c:tx>
            <c:strRef>
              <c:f>'[1]raw mortality analysis'!$V$5</c:f>
              <c:strCache>
                <c:ptCount val="1"/>
                <c:pt idx="0">
                  <c:v>Second dose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'[1]raw mortality analysis'!$B$6:$B$31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'[1]raw mortality analysis'!$V$6:$V$31</c:f>
              <c:numCache>
                <c:formatCode>General</c:formatCode>
                <c:ptCount val="26"/>
                <c:pt idx="0">
                  <c:v>6.725728527177548</c:v>
                </c:pt>
                <c:pt idx="1">
                  <c:v>25.2523358410653</c:v>
                </c:pt>
                <c:pt idx="2">
                  <c:v>40.83359571788413</c:v>
                </c:pt>
                <c:pt idx="3">
                  <c:v>39.895008015490944</c:v>
                </c:pt>
                <c:pt idx="4">
                  <c:v>47.724536822685536</c:v>
                </c:pt>
                <c:pt idx="5">
                  <c:v>50.327473285074106</c:v>
                </c:pt>
                <c:pt idx="6">
                  <c:v>51.012971869989798</c:v>
                </c:pt>
                <c:pt idx="7">
                  <c:v>47.246101216440074</c:v>
                </c:pt>
                <c:pt idx="8">
                  <c:v>39.154962041850006</c:v>
                </c:pt>
                <c:pt idx="9">
                  <c:v>38.42859849948497</c:v>
                </c:pt>
                <c:pt idx="10">
                  <c:v>35.914584770416575</c:v>
                </c:pt>
                <c:pt idx="11">
                  <c:v>33.342111590734739</c:v>
                </c:pt>
                <c:pt idx="12">
                  <c:v>31.2459459373942</c:v>
                </c:pt>
                <c:pt idx="13">
                  <c:v>31.50388158368099</c:v>
                </c:pt>
                <c:pt idx="14">
                  <c:v>31.560686230082208</c:v>
                </c:pt>
                <c:pt idx="15">
                  <c:v>32.12696925568433</c:v>
                </c:pt>
                <c:pt idx="16">
                  <c:v>31.452073591594914</c:v>
                </c:pt>
                <c:pt idx="17">
                  <c:v>33.243104709634054</c:v>
                </c:pt>
                <c:pt idx="18">
                  <c:v>32.367762461327175</c:v>
                </c:pt>
                <c:pt idx="19">
                  <c:v>30.968708438252339</c:v>
                </c:pt>
                <c:pt idx="20">
                  <c:v>28.036214783905759</c:v>
                </c:pt>
                <c:pt idx="21">
                  <c:v>27.340341117753042</c:v>
                </c:pt>
                <c:pt idx="22">
                  <c:v>25.816996102046698</c:v>
                </c:pt>
                <c:pt idx="23">
                  <c:v>25.137148125875616</c:v>
                </c:pt>
                <c:pt idx="24">
                  <c:v>24.640928820976107</c:v>
                </c:pt>
                <c:pt idx="25">
                  <c:v>25.50025809144125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F-4ACC-AD11-4BCC8CF07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0808880"/>
        <c:axId val="1960808464"/>
      </c:barChart>
      <c:catAx>
        <c:axId val="196080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08464"/>
        <c:crosses val="autoZero"/>
        <c:auto val="1"/>
        <c:lblAlgn val="ctr"/>
        <c:lblOffset val="100"/>
        <c:noMultiLvlLbl val="0"/>
      </c:catAx>
      <c:valAx>
        <c:axId val="19608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80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585786</xdr:colOff>
      <xdr:row>0</xdr:row>
      <xdr:rowOff>166687</xdr:rowOff>
    </xdr:from>
    <xdr:to>
      <xdr:col>30</xdr:col>
      <xdr:colOff>400049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6D00B-65A4-44CB-A465-E607BF866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9524</xdr:colOff>
      <xdr:row>39</xdr:row>
      <xdr:rowOff>33337</xdr:rowOff>
    </xdr:from>
    <xdr:to>
      <xdr:col>30</xdr:col>
      <xdr:colOff>390525</xdr:colOff>
      <xdr:row>59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8E8662-B6AD-471F-AF2A-5245D6F43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42862</xdr:colOff>
      <xdr:row>0</xdr:row>
      <xdr:rowOff>176212</xdr:rowOff>
    </xdr:from>
    <xdr:to>
      <xdr:col>44</xdr:col>
      <xdr:colOff>514350</xdr:colOff>
      <xdr:row>18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AEDE71-93F6-4F50-8D42-7C965E4F2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9525</xdr:colOff>
      <xdr:row>18</xdr:row>
      <xdr:rowOff>166686</xdr:rowOff>
    </xdr:from>
    <xdr:to>
      <xdr:col>44</xdr:col>
      <xdr:colOff>400051</xdr:colOff>
      <xdr:row>38</xdr:row>
      <xdr:rowOff>95249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B2F5EF-033F-4F57-9FA7-D9382C2486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0</xdr:colOff>
      <xdr:row>39</xdr:row>
      <xdr:rowOff>23812</xdr:rowOff>
    </xdr:from>
    <xdr:to>
      <xdr:col>44</xdr:col>
      <xdr:colOff>247650</xdr:colOff>
      <xdr:row>58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40E817-8E3B-43AD-BB16-5223737DF9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590549</xdr:colOff>
      <xdr:row>18</xdr:row>
      <xdr:rowOff>109536</xdr:rowOff>
    </xdr:from>
    <xdr:to>
      <xdr:col>30</xdr:col>
      <xdr:colOff>409574</xdr:colOff>
      <xdr:row>38</xdr:row>
      <xdr:rowOff>95249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CAD0933-E15F-4628-95BD-5EEBF15244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390525</xdr:colOff>
      <xdr:row>1</xdr:row>
      <xdr:rowOff>109537</xdr:rowOff>
    </xdr:from>
    <xdr:to>
      <xdr:col>37</xdr:col>
      <xdr:colOff>161925</xdr:colOff>
      <xdr:row>30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7B1361-C9E8-4661-A600-740FD548D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arisk-my.sharepoint.com/personal/martin_agenarisk_onmicrosoft_com/Documents/Agena%20Directors%20only/PHE%20ONS%20vaccination%20analysis/raw%20data%20mort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Table 1"/>
      <sheetName val="Table 2"/>
      <sheetName val="Table 3"/>
      <sheetName val="Table 4"/>
      <sheetName val="Table 5"/>
      <sheetName val="All Cause Joint Table"/>
      <sheetName val="raw mortality analysis"/>
    </sheetNames>
    <sheetDataSet>
      <sheetData sheetId="0"/>
      <sheetData sheetId="1"/>
      <sheetData sheetId="2"/>
      <sheetData sheetId="3"/>
      <sheetData sheetId="4"/>
      <sheetData sheetId="5">
        <row r="6">
          <cell r="C6">
            <v>4788</v>
          </cell>
          <cell r="E6">
            <v>14.26470701</v>
          </cell>
          <cell r="J6">
            <v>157</v>
          </cell>
          <cell r="L6">
            <v>2.4521899500000002</v>
          </cell>
          <cell r="Q6">
            <v>37</v>
          </cell>
          <cell r="S6">
            <v>5.1548434009999999</v>
          </cell>
          <cell r="X6">
            <v>1</v>
          </cell>
        </row>
        <row r="7">
          <cell r="C7">
            <v>6089</v>
          </cell>
          <cell r="E7">
            <v>24.028463469999998</v>
          </cell>
          <cell r="J7">
            <v>309</v>
          </cell>
          <cell r="L7">
            <v>3.9198212429999999</v>
          </cell>
          <cell r="Q7">
            <v>183</v>
          </cell>
          <cell r="S7">
            <v>11.43765376</v>
          </cell>
          <cell r="X7">
            <v>14</v>
          </cell>
          <cell r="Z7">
            <v>0.26651538299999999</v>
          </cell>
        </row>
        <row r="8">
          <cell r="C8">
            <v>6563</v>
          </cell>
          <cell r="E8">
            <v>43.691427580000003</v>
          </cell>
          <cell r="J8">
            <v>600</v>
          </cell>
          <cell r="L8">
            <v>4.4039493089999997</v>
          </cell>
          <cell r="Q8">
            <v>262</v>
          </cell>
          <cell r="S8">
            <v>10.72098896</v>
          </cell>
          <cell r="X8">
            <v>25</v>
          </cell>
          <cell r="Z8">
            <v>0.48635046799999998</v>
          </cell>
        </row>
        <row r="9">
          <cell r="C9">
            <v>5164</v>
          </cell>
          <cell r="E9">
            <v>56.166070040000001</v>
          </cell>
          <cell r="J9">
            <v>995</v>
          </cell>
          <cell r="L9">
            <v>5.521274343</v>
          </cell>
          <cell r="Q9">
            <v>340</v>
          </cell>
          <cell r="S9">
            <v>6.8742504719999999</v>
          </cell>
          <cell r="X9">
            <v>25</v>
          </cell>
          <cell r="Z9">
            <v>0.49227691899999998</v>
          </cell>
        </row>
        <row r="10">
          <cell r="C10">
            <v>3520</v>
          </cell>
          <cell r="E10">
            <v>53.051426890000002</v>
          </cell>
          <cell r="J10">
            <v>797</v>
          </cell>
          <cell r="L10">
            <v>5.1476283729999999</v>
          </cell>
          <cell r="Q10">
            <v>750</v>
          </cell>
          <cell r="S10">
            <v>7.2121169160000003</v>
          </cell>
          <cell r="X10">
            <v>17</v>
          </cell>
          <cell r="Z10">
            <v>0.34580304899999997</v>
          </cell>
        </row>
        <row r="11">
          <cell r="C11">
            <v>2419</v>
          </cell>
          <cell r="E11">
            <v>48.755176720000001</v>
          </cell>
          <cell r="J11">
            <v>439</v>
          </cell>
          <cell r="L11">
            <v>5.2998059629999998</v>
          </cell>
          <cell r="Q11">
            <v>880</v>
          </cell>
          <cell r="S11">
            <v>4.7345101940000003</v>
          </cell>
          <cell r="X11">
            <v>17</v>
          </cell>
          <cell r="Z11">
            <v>0.334205366</v>
          </cell>
        </row>
        <row r="12">
          <cell r="C12">
            <v>1625</v>
          </cell>
          <cell r="E12">
            <v>38.018978859999997</v>
          </cell>
          <cell r="J12">
            <v>216</v>
          </cell>
          <cell r="L12">
            <v>4.2717032919999998</v>
          </cell>
          <cell r="Q12">
            <v>965</v>
          </cell>
          <cell r="S12">
            <v>4.2099023779999998</v>
          </cell>
          <cell r="X12">
            <v>25</v>
          </cell>
          <cell r="Z12">
            <v>0.48178712200000001</v>
          </cell>
        </row>
        <row r="13">
          <cell r="C13">
            <v>997</v>
          </cell>
          <cell r="E13">
            <v>25.48714468</v>
          </cell>
          <cell r="J13">
            <v>157</v>
          </cell>
          <cell r="L13">
            <v>5.5558091899999997</v>
          </cell>
          <cell r="Q13">
            <v>750</v>
          </cell>
          <cell r="S13">
            <v>2.6914704939999998</v>
          </cell>
          <cell r="X13">
            <v>6</v>
          </cell>
        </row>
        <row r="14">
          <cell r="C14">
            <v>654</v>
          </cell>
          <cell r="E14">
            <v>17.970729309999999</v>
          </cell>
          <cell r="J14">
            <v>93</v>
          </cell>
          <cell r="L14">
            <v>6.8950153409999997</v>
          </cell>
          <cell r="Q14">
            <v>549</v>
          </cell>
          <cell r="S14">
            <v>2.0746603939999999</v>
          </cell>
          <cell r="X14">
            <v>8</v>
          </cell>
        </row>
        <row r="15">
          <cell r="C15">
            <v>389</v>
          </cell>
          <cell r="E15">
            <v>10.60343849</v>
          </cell>
          <cell r="J15">
            <v>33</v>
          </cell>
          <cell r="L15">
            <v>4.5192160929999998</v>
          </cell>
          <cell r="Q15">
            <v>457</v>
          </cell>
          <cell r="S15">
            <v>1.554908417</v>
          </cell>
          <cell r="X15">
            <v>21</v>
          </cell>
          <cell r="Z15">
            <v>0.67561554099999999</v>
          </cell>
        </row>
        <row r="16">
          <cell r="C16">
            <v>237</v>
          </cell>
          <cell r="E16">
            <v>7.2724004129999997</v>
          </cell>
          <cell r="J16">
            <v>17</v>
          </cell>
          <cell r="L16">
            <v>3.5863995910000002</v>
          </cell>
          <cell r="Q16">
            <v>335</v>
          </cell>
          <cell r="S16">
            <v>1.172131729</v>
          </cell>
          <cell r="X16">
            <v>9</v>
          </cell>
        </row>
        <row r="17">
          <cell r="C17">
            <v>166</v>
          </cell>
          <cell r="E17">
            <v>5.3210558170000004</v>
          </cell>
          <cell r="J17">
            <v>15</v>
          </cell>
          <cell r="L17">
            <v>4.5273393840000002</v>
          </cell>
          <cell r="Q17">
            <v>251</v>
          </cell>
          <cell r="S17">
            <v>0.96978912699999997</v>
          </cell>
          <cell r="X17">
            <v>17</v>
          </cell>
          <cell r="Z17">
            <v>0.21062979200000001</v>
          </cell>
        </row>
        <row r="18">
          <cell r="C18">
            <v>90</v>
          </cell>
          <cell r="E18">
            <v>3.176447553</v>
          </cell>
          <cell r="J18">
            <v>8</v>
          </cell>
          <cell r="Q18">
            <v>160</v>
          </cell>
          <cell r="S18">
            <v>0.87602976499999996</v>
          </cell>
          <cell r="X18">
            <v>20</v>
          </cell>
          <cell r="Z18">
            <v>0.102877495</v>
          </cell>
        </row>
        <row r="19">
          <cell r="C19">
            <v>84</v>
          </cell>
          <cell r="E19">
            <v>3.1244713549999998</v>
          </cell>
          <cell r="J19">
            <v>8</v>
          </cell>
          <cell r="Q19">
            <v>118</v>
          </cell>
          <cell r="S19">
            <v>1.0292468669999999</v>
          </cell>
          <cell r="X19">
            <v>27</v>
          </cell>
          <cell r="Z19">
            <v>0.120912278</v>
          </cell>
        </row>
        <row r="20">
          <cell r="C20">
            <v>54</v>
          </cell>
          <cell r="E20">
            <v>2.1067648889999999</v>
          </cell>
          <cell r="J20">
            <v>5</v>
          </cell>
          <cell r="Q20">
            <v>98</v>
          </cell>
          <cell r="S20">
            <v>1.422349031</v>
          </cell>
          <cell r="X20">
            <v>26</v>
          </cell>
          <cell r="Z20">
            <v>7.5819507999999994E-2</v>
          </cell>
        </row>
        <row r="21">
          <cell r="C21">
            <v>46</v>
          </cell>
          <cell r="E21">
            <v>2.4035263709999999</v>
          </cell>
          <cell r="J21">
            <v>3</v>
          </cell>
          <cell r="Q21">
            <v>84</v>
          </cell>
          <cell r="S21">
            <v>1.82317</v>
          </cell>
          <cell r="X21">
            <v>14</v>
          </cell>
          <cell r="Z21">
            <v>4.2905026999999998E-2</v>
          </cell>
        </row>
        <row r="22">
          <cell r="C22">
            <v>34</v>
          </cell>
          <cell r="E22">
            <v>1.7743589259999999</v>
          </cell>
          <cell r="J22">
            <v>0</v>
          </cell>
          <cell r="Q22">
            <v>43</v>
          </cell>
          <cell r="S22">
            <v>1.5032327169999999</v>
          </cell>
          <cell r="X22">
            <v>24</v>
          </cell>
          <cell r="Z22">
            <v>8.4106363000000003E-2</v>
          </cell>
        </row>
        <row r="23">
          <cell r="C23">
            <v>20</v>
          </cell>
          <cell r="E23">
            <v>1.0293685610000001</v>
          </cell>
          <cell r="J23">
            <v>0</v>
          </cell>
          <cell r="Q23">
            <v>36</v>
          </cell>
          <cell r="S23">
            <v>1.663104015</v>
          </cell>
          <cell r="X23">
            <v>28</v>
          </cell>
          <cell r="Z23">
            <v>7.6336435999999994E-2</v>
          </cell>
        </row>
        <row r="24">
          <cell r="C24">
            <v>19</v>
          </cell>
          <cell r="E24">
            <v>0.869571329</v>
          </cell>
          <cell r="J24">
            <v>2</v>
          </cell>
          <cell r="Q24">
            <v>27</v>
          </cell>
          <cell r="S24">
            <v>1.5985877289999999</v>
          </cell>
          <cell r="X24">
            <v>18</v>
          </cell>
          <cell r="Z24">
            <v>5.0692605000000002E-2</v>
          </cell>
        </row>
        <row r="25">
          <cell r="C25">
            <v>17</v>
          </cell>
          <cell r="E25">
            <v>0.83568920000000002</v>
          </cell>
          <cell r="J25">
            <v>0</v>
          </cell>
          <cell r="Q25">
            <v>19</v>
          </cell>
          <cell r="S25">
            <v>1.3846712670000001</v>
          </cell>
          <cell r="X25">
            <v>17</v>
          </cell>
          <cell r="Z25">
            <v>4.1345461999999999E-2</v>
          </cell>
        </row>
        <row r="26">
          <cell r="C26">
            <v>14</v>
          </cell>
          <cell r="E26">
            <v>0.66854032600000002</v>
          </cell>
          <cell r="J26">
            <v>1</v>
          </cell>
          <cell r="Q26">
            <v>20</v>
          </cell>
          <cell r="S26">
            <v>1.483891471</v>
          </cell>
          <cell r="X26">
            <v>23</v>
          </cell>
          <cell r="Z26">
            <v>5.8883300999999999E-2</v>
          </cell>
        </row>
        <row r="27">
          <cell r="C27">
            <v>18</v>
          </cell>
          <cell r="E27">
            <v>0.92320169600000002</v>
          </cell>
          <cell r="J27">
            <v>1</v>
          </cell>
          <cell r="Q27">
            <v>10</v>
          </cell>
          <cell r="S27">
            <v>0.74552373400000005</v>
          </cell>
          <cell r="X27">
            <v>27</v>
          </cell>
          <cell r="Z27">
            <v>6.6662387000000004E-2</v>
          </cell>
        </row>
        <row r="28">
          <cell r="C28">
            <v>20</v>
          </cell>
          <cell r="E28">
            <v>0.82035946800000004</v>
          </cell>
          <cell r="J28">
            <v>1</v>
          </cell>
          <cell r="Q28">
            <v>10</v>
          </cell>
          <cell r="S28">
            <v>1.1605922529999999</v>
          </cell>
          <cell r="X28">
            <v>29</v>
          </cell>
          <cell r="Z28">
            <v>7.0614053999999996E-2</v>
          </cell>
        </row>
        <row r="29">
          <cell r="C29">
            <v>13</v>
          </cell>
          <cell r="E29">
            <v>0.56995953099999996</v>
          </cell>
          <cell r="J29">
            <v>0</v>
          </cell>
          <cell r="Q29">
            <v>15</v>
          </cell>
          <cell r="S29">
            <v>1.3584387600000001</v>
          </cell>
          <cell r="X29">
            <v>29</v>
          </cell>
          <cell r="Z29">
            <v>6.9928447000000005E-2</v>
          </cell>
        </row>
        <row r="30">
          <cell r="C30">
            <v>26</v>
          </cell>
          <cell r="E30">
            <v>1.1881918819999999</v>
          </cell>
          <cell r="J30">
            <v>0</v>
          </cell>
          <cell r="Q30">
            <v>8</v>
          </cell>
          <cell r="X30">
            <v>48</v>
          </cell>
          <cell r="Z30">
            <v>0.117115108</v>
          </cell>
        </row>
        <row r="31">
          <cell r="C31">
            <v>35</v>
          </cell>
          <cell r="E31">
            <v>1.611146465</v>
          </cell>
          <cell r="J31">
            <v>0</v>
          </cell>
          <cell r="Q31">
            <v>13</v>
          </cell>
          <cell r="S31">
            <v>2.123983634</v>
          </cell>
          <cell r="X31">
            <v>63</v>
          </cell>
          <cell r="Z31">
            <v>0.16198743700000001</v>
          </cell>
        </row>
      </sheetData>
      <sheetData sheetId="6">
        <row r="6">
          <cell r="D6">
            <v>7412</v>
          </cell>
          <cell r="F6">
            <v>22.0380745</v>
          </cell>
          <cell r="K6">
            <v>378</v>
          </cell>
          <cell r="M6">
            <v>8.8291187919999992</v>
          </cell>
          <cell r="R6">
            <v>42</v>
          </cell>
          <cell r="T6">
            <v>5.6472656969999999</v>
          </cell>
          <cell r="Y6">
            <v>17</v>
          </cell>
          <cell r="AA6">
            <v>1.4650133830000001</v>
          </cell>
        </row>
        <row r="7">
          <cell r="D7">
            <v>6900</v>
          </cell>
          <cell r="F7">
            <v>26.53076824</v>
          </cell>
          <cell r="K7">
            <v>690</v>
          </cell>
          <cell r="M7">
            <v>8.9000132979999993</v>
          </cell>
          <cell r="R7">
            <v>195</v>
          </cell>
          <cell r="T7">
            <v>10.51859894</v>
          </cell>
          <cell r="Y7">
            <v>87</v>
          </cell>
          <cell r="AA7">
            <v>3.3447093799999998</v>
          </cell>
        </row>
        <row r="8">
          <cell r="D8">
            <v>6049</v>
          </cell>
          <cell r="F8">
            <v>37.626975420000001</v>
          </cell>
          <cell r="K8">
            <v>1315</v>
          </cell>
          <cell r="M8">
            <v>9.2810948280000005</v>
          </cell>
          <cell r="R8">
            <v>297</v>
          </cell>
          <cell r="T8">
            <v>11.07392885</v>
          </cell>
          <cell r="Y8">
            <v>141</v>
          </cell>
          <cell r="AA8">
            <v>5.0863526050000001</v>
          </cell>
        </row>
        <row r="9">
          <cell r="D9">
            <v>4945</v>
          </cell>
          <cell r="F9">
            <v>47.718083059999998</v>
          </cell>
          <cell r="K9">
            <v>1999</v>
          </cell>
          <cell r="M9">
            <v>10.71440364</v>
          </cell>
          <cell r="R9">
            <v>541</v>
          </cell>
          <cell r="T9">
            <v>12.227642550000001</v>
          </cell>
          <cell r="Y9">
            <v>139</v>
          </cell>
          <cell r="AA9">
            <v>3.2818704520000002</v>
          </cell>
        </row>
        <row r="10">
          <cell r="D10">
            <v>4100</v>
          </cell>
          <cell r="F10">
            <v>55.376919950000001</v>
          </cell>
          <cell r="K10">
            <v>1911</v>
          </cell>
          <cell r="M10">
            <v>13.12002013</v>
          </cell>
          <cell r="R10">
            <v>1149</v>
          </cell>
          <cell r="T10">
            <v>11.07271238</v>
          </cell>
          <cell r="Y10">
            <v>184</v>
          </cell>
          <cell r="AA10">
            <v>6.2222133780000002</v>
          </cell>
        </row>
        <row r="11">
          <cell r="D11">
            <v>3401</v>
          </cell>
          <cell r="F11">
            <v>63.871644449999998</v>
          </cell>
          <cell r="K11">
            <v>1508</v>
          </cell>
          <cell r="M11">
            <v>16.72510643</v>
          </cell>
          <cell r="R11">
            <v>2009</v>
          </cell>
          <cell r="T11">
            <v>11.64792737</v>
          </cell>
          <cell r="Y11">
            <v>202</v>
          </cell>
          <cell r="AA11">
            <v>4.8415837130000003</v>
          </cell>
        </row>
        <row r="12">
          <cell r="D12">
            <v>2998</v>
          </cell>
          <cell r="F12">
            <v>66.10999631</v>
          </cell>
          <cell r="K12">
            <v>1325</v>
          </cell>
          <cell r="M12">
            <v>24.844671479999999</v>
          </cell>
          <cell r="R12">
            <v>2999</v>
          </cell>
          <cell r="T12">
            <v>13.07728904</v>
          </cell>
          <cell r="Y12">
            <v>206</v>
          </cell>
          <cell r="AA12">
            <v>7.5539462669999997</v>
          </cell>
        </row>
        <row r="13">
          <cell r="D13">
            <v>2198</v>
          </cell>
          <cell r="F13">
            <v>53.890173900000001</v>
          </cell>
          <cell r="K13">
            <v>1105</v>
          </cell>
          <cell r="M13">
            <v>33.66366094</v>
          </cell>
          <cell r="R13">
            <v>3705</v>
          </cell>
          <cell r="T13">
            <v>14.387397099999999</v>
          </cell>
          <cell r="Y13">
            <v>235</v>
          </cell>
          <cell r="AA13">
            <v>5.8840064600000002</v>
          </cell>
        </row>
        <row r="14">
          <cell r="D14">
            <v>1839</v>
          </cell>
          <cell r="F14">
            <v>47.914960659999998</v>
          </cell>
          <cell r="K14">
            <v>668</v>
          </cell>
          <cell r="M14">
            <v>43.91464379</v>
          </cell>
          <cell r="R14">
            <v>3996</v>
          </cell>
          <cell r="T14">
            <v>14.525608800000001</v>
          </cell>
          <cell r="Y14">
            <v>257</v>
          </cell>
          <cell r="AA14">
            <v>7.796158395</v>
          </cell>
        </row>
        <row r="15">
          <cell r="D15">
            <v>1620</v>
          </cell>
          <cell r="F15">
            <v>45.435723770000003</v>
          </cell>
          <cell r="K15">
            <v>444</v>
          </cell>
          <cell r="M15">
            <v>45.324018180000003</v>
          </cell>
          <cell r="R15">
            <v>4713</v>
          </cell>
          <cell r="T15">
            <v>16.655014229999999</v>
          </cell>
          <cell r="Y15">
            <v>342</v>
          </cell>
          <cell r="AA15">
            <v>7.440950548</v>
          </cell>
        </row>
        <row r="16">
          <cell r="D16">
            <v>1372</v>
          </cell>
          <cell r="F16">
            <v>42.285285479999999</v>
          </cell>
          <cell r="K16">
            <v>319</v>
          </cell>
          <cell r="M16">
            <v>52.453066730000003</v>
          </cell>
          <cell r="R16">
            <v>4819</v>
          </cell>
          <cell r="T16">
            <v>16.925470690000001</v>
          </cell>
          <cell r="Y16">
            <v>470</v>
          </cell>
          <cell r="AA16">
            <v>7.039687121</v>
          </cell>
        </row>
        <row r="17">
          <cell r="D17">
            <v>1183</v>
          </cell>
          <cell r="F17">
            <v>40.717874700000003</v>
          </cell>
          <cell r="K17">
            <v>235</v>
          </cell>
          <cell r="M17">
            <v>35.983927690000002</v>
          </cell>
          <cell r="R17">
            <v>4786</v>
          </cell>
          <cell r="T17">
            <v>18.69707987</v>
          </cell>
          <cell r="Y17">
            <v>711</v>
          </cell>
          <cell r="AA17">
            <v>7.3225674039999999</v>
          </cell>
        </row>
        <row r="18">
          <cell r="D18">
            <v>1025</v>
          </cell>
          <cell r="F18">
            <v>38.831251020000003</v>
          </cell>
          <cell r="K18">
            <v>190</v>
          </cell>
          <cell r="M18">
            <v>39.931248910000001</v>
          </cell>
          <cell r="R18">
            <v>4531</v>
          </cell>
          <cell r="T18">
            <v>24.32257315</v>
          </cell>
          <cell r="Y18">
            <v>1165</v>
          </cell>
          <cell r="AA18">
            <v>7.3920818419999996</v>
          </cell>
        </row>
        <row r="19">
          <cell r="D19">
            <v>919</v>
          </cell>
          <cell r="F19">
            <v>36.553198899999998</v>
          </cell>
          <cell r="K19">
            <v>125</v>
          </cell>
          <cell r="M19">
            <v>35.948213019999997</v>
          </cell>
          <cell r="R19">
            <v>4156</v>
          </cell>
          <cell r="T19">
            <v>32.4012314</v>
          </cell>
          <cell r="Y19">
            <v>1685</v>
          </cell>
          <cell r="AA19">
            <v>7.4021978419999996</v>
          </cell>
        </row>
        <row r="20">
          <cell r="D20">
            <v>874</v>
          </cell>
          <cell r="F20">
            <v>36.557115230000001</v>
          </cell>
          <cell r="K20">
            <v>91</v>
          </cell>
          <cell r="M20">
            <v>45.370718279999998</v>
          </cell>
          <cell r="R20">
            <v>3721</v>
          </cell>
          <cell r="T20">
            <v>46.00243571</v>
          </cell>
          <cell r="Y20">
            <v>2273</v>
          </cell>
          <cell r="AA20">
            <v>8.3305758589999996</v>
          </cell>
        </row>
        <row r="21">
          <cell r="D21">
            <v>795</v>
          </cell>
          <cell r="F21">
            <v>38.249688089999999</v>
          </cell>
          <cell r="K21">
            <v>44</v>
          </cell>
          <cell r="M21">
            <v>46.695777960000001</v>
          </cell>
          <cell r="R21">
            <v>3280</v>
          </cell>
          <cell r="T21">
            <v>61.726876230000002</v>
          </cell>
          <cell r="Y21">
            <v>2946</v>
          </cell>
          <cell r="AA21">
            <v>9.3843569369999997</v>
          </cell>
        </row>
        <row r="22">
          <cell r="D22">
            <v>708</v>
          </cell>
          <cell r="F22">
            <v>36.787894090000002</v>
          </cell>
          <cell r="K22">
            <v>30</v>
          </cell>
          <cell r="M22">
            <v>35.442833919999998</v>
          </cell>
          <cell r="R22">
            <v>2734</v>
          </cell>
          <cell r="T22">
            <v>77.638961570000006</v>
          </cell>
          <cell r="Y22">
            <v>3394</v>
          </cell>
          <cell r="AA22">
            <v>10.30290368</v>
          </cell>
        </row>
        <row r="23">
          <cell r="D23">
            <v>603</v>
          </cell>
          <cell r="F23">
            <v>31.999369990000002</v>
          </cell>
          <cell r="K23">
            <v>33</v>
          </cell>
          <cell r="M23">
            <v>36.991169929999998</v>
          </cell>
          <cell r="R23">
            <v>2266</v>
          </cell>
          <cell r="T23">
            <v>92.289752410000006</v>
          </cell>
          <cell r="Y23">
            <v>4137</v>
          </cell>
          <cell r="AA23">
            <v>11.74925928</v>
          </cell>
        </row>
        <row r="24">
          <cell r="D24">
            <v>578</v>
          </cell>
          <cell r="F24">
            <v>30.950713579999999</v>
          </cell>
          <cell r="K24">
            <v>28</v>
          </cell>
          <cell r="M24">
            <v>48.0571445</v>
          </cell>
          <cell r="R24">
            <v>1830</v>
          </cell>
          <cell r="T24">
            <v>97.183412559999994</v>
          </cell>
          <cell r="Y24">
            <v>4626</v>
          </cell>
          <cell r="AA24">
            <v>12.698867809999999</v>
          </cell>
        </row>
        <row r="25">
          <cell r="D25">
            <v>600</v>
          </cell>
          <cell r="F25">
            <v>32.672837780000002</v>
          </cell>
          <cell r="K25">
            <v>13</v>
          </cell>
          <cell r="M25">
            <v>18.678727139999999</v>
          </cell>
          <cell r="R25">
            <v>1441</v>
          </cell>
          <cell r="T25">
            <v>97.464962450000002</v>
          </cell>
          <cell r="Y25">
            <v>4946</v>
          </cell>
          <cell r="AA25">
            <v>13.343904090000001</v>
          </cell>
        </row>
        <row r="26">
          <cell r="D26">
            <v>475</v>
          </cell>
          <cell r="F26">
            <v>26.073330930000001</v>
          </cell>
          <cell r="K26">
            <v>22</v>
          </cell>
          <cell r="M26">
            <v>27.033407870000001</v>
          </cell>
          <cell r="R26">
            <v>1248</v>
          </cell>
          <cell r="T26">
            <v>106.81133269999999</v>
          </cell>
          <cell r="Y26">
            <v>5034</v>
          </cell>
          <cell r="AA26">
            <v>13.142894160000001</v>
          </cell>
        </row>
        <row r="27">
          <cell r="D27">
            <v>502</v>
          </cell>
          <cell r="F27">
            <v>28.622988809999999</v>
          </cell>
          <cell r="K27">
            <v>17</v>
          </cell>
          <cell r="M27">
            <v>28.47817817</v>
          </cell>
          <cell r="R27">
            <v>1007</v>
          </cell>
          <cell r="T27">
            <v>99.978392249999999</v>
          </cell>
          <cell r="Y27">
            <v>5325</v>
          </cell>
          <cell r="AA27">
            <v>13.6547409</v>
          </cell>
        </row>
        <row r="28">
          <cell r="D28">
            <v>430</v>
          </cell>
          <cell r="F28">
            <v>25.223856179999999</v>
          </cell>
          <cell r="K28">
            <v>14</v>
          </cell>
          <cell r="M28">
            <v>33.536608809999997</v>
          </cell>
          <cell r="R28">
            <v>850</v>
          </cell>
          <cell r="T28">
            <v>97.975686780000004</v>
          </cell>
          <cell r="Y28">
            <v>5408</v>
          </cell>
          <cell r="AA28">
            <v>13.70303043</v>
          </cell>
        </row>
        <row r="29">
          <cell r="D29">
            <v>448</v>
          </cell>
          <cell r="F29">
            <v>25.78696746</v>
          </cell>
          <cell r="K29">
            <v>9</v>
          </cell>
          <cell r="R29">
            <v>697</v>
          </cell>
          <cell r="T29">
            <v>94.617909049999994</v>
          </cell>
          <cell r="Y29">
            <v>5510</v>
          </cell>
          <cell r="AA29">
            <v>13.6796519</v>
          </cell>
        </row>
        <row r="30">
          <cell r="D30">
            <v>434</v>
          </cell>
          <cell r="F30">
            <v>25.123510710000001</v>
          </cell>
          <cell r="K30">
            <v>8</v>
          </cell>
          <cell r="R30">
            <v>634</v>
          </cell>
          <cell r="T30">
            <v>95.237917929999995</v>
          </cell>
          <cell r="Y30">
            <v>5538</v>
          </cell>
          <cell r="AA30">
            <v>13.89092404</v>
          </cell>
        </row>
        <row r="31">
          <cell r="D31">
            <v>401</v>
          </cell>
          <cell r="F31">
            <v>23.65239437</v>
          </cell>
          <cell r="K31">
            <v>8</v>
          </cell>
          <cell r="R31">
            <v>555</v>
          </cell>
          <cell r="T31">
            <v>87.225863759999996</v>
          </cell>
          <cell r="Y31">
            <v>5881</v>
          </cell>
          <cell r="AA31">
            <v>14.57851988</v>
          </cell>
        </row>
      </sheetData>
      <sheetData sheetId="7"/>
      <sheetData sheetId="8">
        <row r="5">
          <cell r="S5" t="str">
            <v>unvaccinated</v>
          </cell>
          <cell r="U5" t="str">
            <v>21 days or more</v>
          </cell>
          <cell r="V5" t="str">
            <v>Second dose</v>
          </cell>
        </row>
        <row r="6">
          <cell r="B6">
            <v>1</v>
          </cell>
          <cell r="S6">
            <v>32.272002403153181</v>
          </cell>
          <cell r="U6">
            <v>88.469808278086361</v>
          </cell>
          <cell r="V6">
            <v>6.725728527177548</v>
          </cell>
        </row>
        <row r="7">
          <cell r="B7">
            <v>2</v>
          </cell>
          <cell r="S7">
            <v>35.575166829976283</v>
          </cell>
          <cell r="U7">
            <v>112.63173890890238</v>
          </cell>
          <cell r="V7">
            <v>25.2523358410653</v>
          </cell>
        </row>
        <row r="8">
          <cell r="B8">
            <v>3</v>
          </cell>
          <cell r="S8">
            <v>36.306681258428952</v>
          </cell>
          <cell r="U8">
            <v>97.978556893291</v>
          </cell>
          <cell r="V8">
            <v>40.83359571788413</v>
          </cell>
        </row>
        <row r="9">
          <cell r="B9">
            <v>4</v>
          </cell>
          <cell r="S9">
            <v>30.728312685522305</v>
          </cell>
          <cell r="U9">
            <v>77.092433915770613</v>
          </cell>
          <cell r="V9">
            <v>39.895008015490944</v>
          </cell>
        </row>
        <row r="10">
          <cell r="B10">
            <v>5</v>
          </cell>
          <cell r="S10">
            <v>24.577168681139778</v>
          </cell>
          <cell r="U10">
            <v>78.522568312360207</v>
          </cell>
          <cell r="V10">
            <v>47.724536822685536</v>
          </cell>
        </row>
        <row r="11">
          <cell r="B11">
            <v>6</v>
          </cell>
          <cell r="S11">
            <v>20.109605643377289</v>
          </cell>
          <cell r="U11">
            <v>69.275458791053325</v>
          </cell>
          <cell r="V11">
            <v>50.327473285074106</v>
          </cell>
        </row>
        <row r="12">
          <cell r="B12">
            <v>7</v>
          </cell>
          <cell r="S12">
            <v>17.105844326604185</v>
          </cell>
          <cell r="U12">
            <v>66.238467171019238</v>
          </cell>
          <cell r="V12">
            <v>51.012971869989798</v>
          </cell>
        </row>
        <row r="13">
          <cell r="B13">
            <v>8</v>
          </cell>
          <cell r="S13">
            <v>12.647782610150013</v>
          </cell>
          <cell r="U13">
            <v>57.000280587239793</v>
          </cell>
          <cell r="V13">
            <v>47.246101216440074</v>
          </cell>
        </row>
        <row r="14">
          <cell r="B14">
            <v>9</v>
          </cell>
          <cell r="S14">
            <v>10.476753206693356</v>
          </cell>
          <cell r="U14">
            <v>46.812019101775718</v>
          </cell>
          <cell r="V14">
            <v>39.154962041850006</v>
          </cell>
        </row>
        <row r="15">
          <cell r="B15">
            <v>10</v>
          </cell>
          <cell r="S15">
            <v>8.9304292887141994</v>
          </cell>
          <cell r="U15">
            <v>45.522364732758625</v>
          </cell>
          <cell r="V15">
            <v>38.42859849948497</v>
          </cell>
        </row>
        <row r="16">
          <cell r="B16">
            <v>11</v>
          </cell>
          <cell r="S16">
            <v>7.956639135409536</v>
          </cell>
          <cell r="U16">
            <v>40.467129172819376</v>
          </cell>
          <cell r="V16">
            <v>35.914584770416575</v>
          </cell>
        </row>
        <row r="17">
          <cell r="B17">
            <v>12</v>
          </cell>
          <cell r="S17">
            <v>7.365131556318361</v>
          </cell>
          <cell r="U17">
            <v>37.700710250843329</v>
          </cell>
          <cell r="V17">
            <v>33.342111590734739</v>
          </cell>
        </row>
        <row r="18">
          <cell r="B18">
            <v>13</v>
          </cell>
          <cell r="S18">
            <v>6.4733990326245374</v>
          </cell>
          <cell r="U18">
            <v>35.897770251821598</v>
          </cell>
          <cell r="V18">
            <v>31.2459459373942</v>
          </cell>
        </row>
        <row r="19">
          <cell r="B19">
            <v>14</v>
          </cell>
          <cell r="S19">
            <v>5.9136818246968907</v>
          </cell>
          <cell r="U19">
            <v>31.144879654989936</v>
          </cell>
          <cell r="V19">
            <v>31.50388158368099</v>
          </cell>
        </row>
        <row r="20">
          <cell r="B20">
            <v>15</v>
          </cell>
          <cell r="S20">
            <v>5.6090059844104685</v>
          </cell>
          <cell r="U20">
            <v>27.617035958046113</v>
          </cell>
          <cell r="V20">
            <v>31.560686230082208</v>
          </cell>
        </row>
        <row r="21">
          <cell r="B21">
            <v>16</v>
          </cell>
          <cell r="S21">
            <v>5.2803173564910511</v>
          </cell>
          <cell r="U21">
            <v>25.688056580922723</v>
          </cell>
          <cell r="V21">
            <v>32.12696925568433</v>
          </cell>
        </row>
        <row r="22">
          <cell r="B22">
            <v>17</v>
          </cell>
          <cell r="S22">
            <v>4.7842311740503298</v>
          </cell>
          <cell r="U22">
            <v>23.737049225784983</v>
          </cell>
          <cell r="V22">
            <v>31.452073591594914</v>
          </cell>
        </row>
        <row r="23">
          <cell r="B23">
            <v>18</v>
          </cell>
          <cell r="S23">
            <v>4.1448041553424693</v>
          </cell>
          <cell r="U23">
            <v>22.148317526438952</v>
          </cell>
          <cell r="V23">
            <v>33.243104709634054</v>
          </cell>
        </row>
        <row r="24">
          <cell r="B24">
            <v>19</v>
          </cell>
          <cell r="S24">
            <v>4.1452590422368569</v>
          </cell>
          <cell r="U24">
            <v>20.494573683620949</v>
          </cell>
          <cell r="V24">
            <v>32.367762461327175</v>
          </cell>
        </row>
        <row r="25">
          <cell r="B25">
            <v>20</v>
          </cell>
          <cell r="S25">
            <v>4.5451632317657555</v>
          </cell>
          <cell r="U25">
            <v>18.795540564896111</v>
          </cell>
          <cell r="V25">
            <v>30.968708438252339</v>
          </cell>
        </row>
        <row r="26">
          <cell r="B26">
            <v>21</v>
          </cell>
          <cell r="S26">
            <v>3.8049772526165637</v>
          </cell>
          <cell r="U26">
            <v>20.368584638778092</v>
          </cell>
          <cell r="V26">
            <v>28.036214783905759</v>
          </cell>
        </row>
        <row r="27">
          <cell r="B27">
            <v>22</v>
          </cell>
          <cell r="S27">
            <v>4.2083975822108446</v>
          </cell>
          <cell r="U27">
            <v>19.164145523136888</v>
          </cell>
          <cell r="V27">
            <v>27.340341117753042</v>
          </cell>
        </row>
        <row r="28">
          <cell r="B28">
            <v>23</v>
          </cell>
          <cell r="S28">
            <v>3.8273413186415595</v>
          </cell>
          <cell r="U28">
            <v>18.52810972777467</v>
          </cell>
          <cell r="V28">
            <v>25.816996102046698</v>
          </cell>
        </row>
        <row r="29">
          <cell r="B29">
            <v>24</v>
          </cell>
          <cell r="S29">
            <v>4.2019901208568928</v>
          </cell>
          <cell r="U29">
            <v>16.249348999044667</v>
          </cell>
          <cell r="V29">
            <v>25.137148125875616</v>
          </cell>
        </row>
        <row r="30">
          <cell r="B30">
            <v>25</v>
          </cell>
          <cell r="S30">
            <v>4.5429312434269464</v>
          </cell>
          <cell r="U30">
            <v>15.158022383346387</v>
          </cell>
          <cell r="V30">
            <v>24.640928820976107</v>
          </cell>
        </row>
        <row r="31">
          <cell r="B31">
            <v>26</v>
          </cell>
          <cell r="S31">
            <v>4.5743715170252655</v>
          </cell>
          <cell r="U31">
            <v>13.56699455958741</v>
          </cell>
          <cell r="V31">
            <v>25.50025809144125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gov.uk/government/statistics/national-flu-and-covid-19-surveillance-reports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ons.gov.uk/peoplepopulationandcommunity/birthsdeathsandmarriages/lifeexpectancies/datasets/nationallifetablesenglandreferencetable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ns.gov.uk/peoplepopulationandcommunity/populationandmigration/populationestimates/bulletins/annualmidyearpopulationestimates/mid2020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ons.gov.uk/peoplepopulationandcommunity/birthsdeathsandmarriages/deaths/datasets/monthlyfiguresondeathsregisteredbyareaofusualreside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ebarchive.nationalarchives.gov.uk/ukgwa/20160106020035/http:/www.ons.gov.uk/ons/guide-method/user-guidance/health-and-life-events/revised-european-standard-population-2013--2013-esp-/index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file?uri=%2fpeoplepopulationandcommunity%2fbirthsdeathsandmarriages%2fdeaths%2fdatasets%2fdeathsbyvaccinationstatusengland%2fdeathsoccurringbetween2januaryand2july2021/dataset.xlsx" TargetMode="External"/><Relationship Id="rId2" Type="http://schemas.openxmlformats.org/officeDocument/2006/relationships/hyperlink" Target="https://www.ons.gov.uk/peoplepopulationandcommunity/birthsdeathsandmarriages/deaths/methodologies/weeklycovid19agestandardisedmortalityratesbyvaccinationstatusenglandmethodology" TargetMode="External"/><Relationship Id="rId1" Type="http://schemas.openxmlformats.org/officeDocument/2006/relationships/hyperlink" Target="https://www.ons.gov.uk/peoplepopulationandcommunity/birthsdeathsandmarriages/deaths/articles/impactofregistrationdelaysonmortalitystatisticsinenglandandwales/latest" TargetMode="External"/><Relationship Id="rId4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birthsdeathsandmarriages/deaths/methodologies/weeklycovid19agestandardisedmortalityratesbyvaccinationstatusenglandmethodology" TargetMode="External"/><Relationship Id="rId2" Type="http://schemas.openxmlformats.org/officeDocument/2006/relationships/hyperlink" Target="https://www.ons.gov.uk/peoplepopulationandcommunity/birthsdeathsandmarriages/deaths/articles/impactofregistrationdelaysonmortalitystatisticsinenglandandwales/2019" TargetMode="External"/><Relationship Id="rId1" Type="http://schemas.openxmlformats.org/officeDocument/2006/relationships/hyperlink" Target="https://www.ons.gov.uk/peoplepopulationandcommunity/birthsdeathsandmarriages/deaths/articles/impactofregistrationdelaysonmortalitystatisticsinenglandandwales/2019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ons.gov.uk/peoplepopulationandcommunity/birthsdeathsandmarriages/deaths/articles/impactofregistrationdelaysonmortalitystatisticsinenglandandwales/la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A0C0-4C52-4BCB-B7CB-1B344BEF39A1}">
  <dimension ref="A1:P37"/>
  <sheetViews>
    <sheetView zoomScale="115" zoomScaleNormal="115" workbookViewId="0">
      <selection activeCell="G35" sqref="G35"/>
    </sheetView>
  </sheetViews>
  <sheetFormatPr defaultColWidth="9.1796875" defaultRowHeight="14.5" x14ac:dyDescent="0.35"/>
  <cols>
    <col min="1" max="1" width="13.1796875" style="1" customWidth="1"/>
    <col min="2" max="2" width="5.7265625" style="1" customWidth="1"/>
    <col min="3" max="3" width="9.1796875" style="1"/>
    <col min="4" max="4" width="13.1796875" style="1" customWidth="1"/>
    <col min="5" max="5" width="10.1796875" style="1" customWidth="1"/>
    <col min="6" max="6" width="9.1796875" style="1"/>
    <col min="7" max="7" width="12.54296875" style="1" customWidth="1"/>
    <col min="8" max="8" width="11.1796875" style="1" customWidth="1"/>
    <col min="9" max="9" width="12.54296875" style="1" customWidth="1"/>
    <col min="10" max="10" width="14" style="1" customWidth="1"/>
    <col min="11" max="11" width="10.7265625" style="1" customWidth="1"/>
    <col min="12" max="12" width="9.1796875" style="1"/>
    <col min="13" max="13" width="12.453125" style="1" customWidth="1"/>
    <col min="14" max="14" width="10.7265625" style="1" customWidth="1"/>
    <col min="15" max="15" width="11.7265625" style="1" customWidth="1"/>
    <col min="16" max="16" width="10.81640625" style="1" customWidth="1"/>
    <col min="17" max="16384" width="9.1796875" style="1"/>
  </cols>
  <sheetData>
    <row r="1" spans="1:16" x14ac:dyDescent="0.35">
      <c r="A1" s="285" t="s">
        <v>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3"/>
      <c r="O1" s="3"/>
    </row>
    <row r="2" spans="1:16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x14ac:dyDescent="0.35">
      <c r="A3" s="6"/>
      <c r="B3" s="6"/>
      <c r="C3" s="284" t="s">
        <v>7</v>
      </c>
      <c r="D3" s="284"/>
      <c r="E3" s="284"/>
      <c r="F3" s="284" t="s">
        <v>1</v>
      </c>
      <c r="G3" s="284"/>
      <c r="H3" s="284"/>
      <c r="I3" s="284" t="s">
        <v>8</v>
      </c>
      <c r="J3" s="284"/>
      <c r="K3" s="284"/>
      <c r="L3" s="284" t="s">
        <v>9</v>
      </c>
      <c r="M3" s="284"/>
      <c r="N3" s="284"/>
      <c r="O3" s="284"/>
      <c r="P3" s="284"/>
    </row>
    <row r="4" spans="1:16" ht="52.5" x14ac:dyDescent="0.35">
      <c r="A4" s="8" t="s">
        <v>10</v>
      </c>
      <c r="B4" s="9" t="s">
        <v>11</v>
      </c>
      <c r="C4" s="10" t="s">
        <v>12</v>
      </c>
      <c r="D4" s="10" t="s">
        <v>13</v>
      </c>
      <c r="E4" s="11" t="s">
        <v>60</v>
      </c>
      <c r="F4" s="10" t="s">
        <v>12</v>
      </c>
      <c r="G4" s="10" t="s">
        <v>13</v>
      </c>
      <c r="H4" s="11" t="s">
        <v>61</v>
      </c>
      <c r="I4" s="10" t="s">
        <v>12</v>
      </c>
      <c r="J4" s="10" t="s">
        <v>13</v>
      </c>
      <c r="K4" s="11" t="s">
        <v>62</v>
      </c>
      <c r="L4" s="10" t="s">
        <v>12</v>
      </c>
      <c r="M4" s="10" t="s">
        <v>13</v>
      </c>
      <c r="N4" s="11" t="s">
        <v>63</v>
      </c>
      <c r="O4" s="74" t="s">
        <v>57</v>
      </c>
      <c r="P4" s="80" t="s">
        <v>58</v>
      </c>
    </row>
    <row r="5" spans="1:16" x14ac:dyDescent="0.35">
      <c r="A5" s="14">
        <v>44204</v>
      </c>
      <c r="B5" s="15">
        <v>1</v>
      </c>
      <c r="C5" s="61">
        <f>'ONS Table 4'!C6+'ONS Table 5'!D6</f>
        <v>12200</v>
      </c>
      <c r="D5" s="53">
        <v>37803666</v>
      </c>
      <c r="E5" s="54">
        <f>'ONS Table 4'!E6+'ONS Table 5'!F6</f>
        <v>36.302781510000003</v>
      </c>
      <c r="F5" s="53">
        <f>'ONS Table 4'!J6+'ONS Table 5'!K6</f>
        <v>535</v>
      </c>
      <c r="G5" s="53">
        <v>1199228</v>
      </c>
      <c r="H5" s="54">
        <f>'ONS Table 4'!L6+'ONS Table 5'!M6</f>
        <v>11.281308742</v>
      </c>
      <c r="I5" s="53">
        <f>'ONS Table 4'!Q6+'ONS Table 5'!R6</f>
        <v>79</v>
      </c>
      <c r="J5" s="53">
        <v>89296</v>
      </c>
      <c r="K5" s="54">
        <f>'ONS Table 4'!S6+'ONS Table 5'!T6</f>
        <v>10.802109097999999</v>
      </c>
      <c r="L5" s="53">
        <f>'ONS Table 4'!X6+'ONS Table 5'!Y6</f>
        <v>18</v>
      </c>
      <c r="M5" s="53">
        <v>267629</v>
      </c>
      <c r="N5" s="62">
        <f>'ONS Table 5'!AA6</f>
        <v>1.4650133830000001</v>
      </c>
      <c r="O5" s="55">
        <f>G5+J5+M5</f>
        <v>1556153</v>
      </c>
      <c r="P5" s="63">
        <f>(G5*H5+J5*K5+M5*N5)/O5</f>
        <v>9.5655931780134029</v>
      </c>
    </row>
    <row r="6" spans="1:16" x14ac:dyDescent="0.35">
      <c r="A6" s="18">
        <v>44211</v>
      </c>
      <c r="B6" s="19">
        <v>2</v>
      </c>
      <c r="C6" s="61">
        <f>'ONS Table 4'!C7+'ONS Table 5'!D7</f>
        <v>12989</v>
      </c>
      <c r="D6" s="55">
        <v>36511424</v>
      </c>
      <c r="E6" s="54">
        <f>'ONS Table 4'!E7+'ONS Table 5'!F7</f>
        <v>50.559231709999999</v>
      </c>
      <c r="F6" s="53">
        <f>'ONS Table 4'!J7+'ONS Table 5'!K7</f>
        <v>999</v>
      </c>
      <c r="G6" s="55">
        <v>2110062</v>
      </c>
      <c r="H6" s="54">
        <f>'ONS Table 4'!L7+'ONS Table 5'!M7</f>
        <v>12.819834540999999</v>
      </c>
      <c r="I6" s="53">
        <f>'ONS Table 4'!Q7+'ONS Table 5'!R7</f>
        <v>378</v>
      </c>
      <c r="J6" s="55">
        <v>335607</v>
      </c>
      <c r="K6" s="54">
        <f>'ONS Table 4'!S7+'ONS Table 5'!T7</f>
        <v>21.9562527</v>
      </c>
      <c r="L6" s="53">
        <f>'ONS Table 4'!X7+'ONS Table 5'!Y7</f>
        <v>101</v>
      </c>
      <c r="M6" s="55">
        <v>399963</v>
      </c>
      <c r="N6" s="62">
        <f>'ONS Table 4'!Z7+'ONS Table 5'!AA7</f>
        <v>3.6112247630000001</v>
      </c>
      <c r="O6" s="55">
        <f t="shared" ref="O6:O29" si="0">G6+J6+M6</f>
        <v>2845632</v>
      </c>
      <c r="P6" s="63">
        <f t="shared" ref="P6:P30" si="1">(G6*H6+J6*K6+M6*N6)/O6</f>
        <v>12.603061148111987</v>
      </c>
    </row>
    <row r="7" spans="1:16" x14ac:dyDescent="0.35">
      <c r="A7" s="18">
        <v>44218</v>
      </c>
      <c r="B7" s="19">
        <v>3</v>
      </c>
      <c r="C7" s="61">
        <f>'ONS Table 4'!C8+'ONS Table 5'!D8</f>
        <v>12612</v>
      </c>
      <c r="D7" s="55">
        <v>34737408</v>
      </c>
      <c r="E7" s="54">
        <f>'ONS Table 4'!E8+'ONS Table 5'!F8</f>
        <v>81.318403000000004</v>
      </c>
      <c r="F7" s="53">
        <f>'ONS Table 4'!J8+'ONS Table 5'!K8</f>
        <v>1915</v>
      </c>
      <c r="G7" s="55">
        <v>3638226</v>
      </c>
      <c r="H7" s="54">
        <f>'ONS Table 4'!L8+'ONS Table 5'!M8</f>
        <v>13.685044137</v>
      </c>
      <c r="I7" s="53">
        <f>'ONS Table 4'!Q8+'ONS Table 5'!R8</f>
        <v>559</v>
      </c>
      <c r="J7" s="55">
        <v>570533</v>
      </c>
      <c r="K7" s="54">
        <f>'ONS Table 4'!S8+'ONS Table 5'!T8</f>
        <v>21.794917810000001</v>
      </c>
      <c r="L7" s="53">
        <f>'ONS Table 4'!X8+'ONS Table 5'!Y8</f>
        <v>166</v>
      </c>
      <c r="M7" s="55">
        <v>406528</v>
      </c>
      <c r="N7" s="62">
        <f>'ONS Table 4'!Z8+'ONS Table 5'!AA8</f>
        <v>5.5727030730000005</v>
      </c>
      <c r="O7" s="55">
        <f t="shared" si="0"/>
        <v>4615287</v>
      </c>
      <c r="P7" s="63">
        <f t="shared" si="1"/>
        <v>13.973012527310702</v>
      </c>
    </row>
    <row r="8" spans="1:16" x14ac:dyDescent="0.35">
      <c r="A8" s="18">
        <v>44225</v>
      </c>
      <c r="B8" s="19">
        <v>4</v>
      </c>
      <c r="C8" s="61">
        <f>'ONS Table 4'!C9+'ONS Table 5'!D9</f>
        <v>10109</v>
      </c>
      <c r="D8" s="55">
        <v>32897999</v>
      </c>
      <c r="E8" s="54">
        <f>'ONS Table 4'!E9+'ONS Table 5'!F9</f>
        <v>103.88415309999999</v>
      </c>
      <c r="F8" s="53">
        <f>'ONS Table 4'!J9+'ONS Table 5'!K9</f>
        <v>2994</v>
      </c>
      <c r="G8" s="55">
        <v>4895631</v>
      </c>
      <c r="H8" s="54">
        <f>'ONS Table 4'!L9+'ONS Table 5'!M9</f>
        <v>16.235677983000002</v>
      </c>
      <c r="I8" s="53">
        <f>'ONS Table 4'!Q9+'ONS Table 5'!R9</f>
        <v>881</v>
      </c>
      <c r="J8" s="55">
        <v>1142784</v>
      </c>
      <c r="K8" s="54">
        <f>'ONS Table 4'!S9+'ONS Table 5'!T9</f>
        <v>19.101893021999999</v>
      </c>
      <c r="L8" s="53">
        <f>'ONS Table 4'!X9+'ONS Table 5'!Y9</f>
        <v>164</v>
      </c>
      <c r="M8" s="55">
        <v>411079</v>
      </c>
      <c r="N8" s="62">
        <f>'ONS Table 4'!Z9+'ONS Table 5'!AA9</f>
        <v>3.7741473710000002</v>
      </c>
      <c r="O8" s="55">
        <f t="shared" si="0"/>
        <v>6449494</v>
      </c>
      <c r="P8" s="63">
        <f t="shared" si="1"/>
        <v>15.94926654431632</v>
      </c>
    </row>
    <row r="9" spans="1:16" x14ac:dyDescent="0.35">
      <c r="A9" s="18">
        <v>44232</v>
      </c>
      <c r="B9" s="19">
        <v>5</v>
      </c>
      <c r="C9" s="61">
        <f>'ONS Table 4'!C10+'ONS Table 5'!D10</f>
        <v>7620</v>
      </c>
      <c r="D9" s="55">
        <v>31004385</v>
      </c>
      <c r="E9" s="54">
        <f>'ONS Table 4'!E10+'ONS Table 5'!F10</f>
        <v>108.42834684</v>
      </c>
      <c r="F9" s="53">
        <f>'ONS Table 4'!J10+'ONS Table 5'!K10</f>
        <v>2708</v>
      </c>
      <c r="G9" s="55">
        <v>5499801</v>
      </c>
      <c r="H9" s="54">
        <f>'ONS Table 4'!L10+'ONS Table 5'!M10</f>
        <v>18.267648503</v>
      </c>
      <c r="I9" s="53">
        <f>'ONS Table 4'!Q10+'ONS Table 5'!R10</f>
        <v>1899</v>
      </c>
      <c r="J9" s="55">
        <v>2418413</v>
      </c>
      <c r="K9" s="54">
        <f>'ONS Table 4'!S10+'ONS Table 5'!T10</f>
        <v>18.284829296000002</v>
      </c>
      <c r="L9" s="53">
        <f>'ONS Table 4'!X10+'ONS Table 5'!Y10</f>
        <v>201</v>
      </c>
      <c r="M9" s="55">
        <v>421167</v>
      </c>
      <c r="N9" s="62">
        <f>'ONS Table 4'!Z10+'ONS Table 5'!AA10</f>
        <v>6.5680164269999999</v>
      </c>
      <c r="O9" s="55">
        <f t="shared" si="0"/>
        <v>8339381</v>
      </c>
      <c r="P9" s="63">
        <f t="shared" si="1"/>
        <v>17.68175985138291</v>
      </c>
    </row>
    <row r="10" spans="1:16" x14ac:dyDescent="0.35">
      <c r="A10" s="18">
        <v>44239</v>
      </c>
      <c r="B10" s="19">
        <v>6</v>
      </c>
      <c r="C10" s="61">
        <f>'ONS Table 4'!C11+'ONS Table 5'!D11</f>
        <v>5820</v>
      </c>
      <c r="D10" s="55">
        <v>28941393</v>
      </c>
      <c r="E10" s="54">
        <f>'ONS Table 4'!E11+'ONS Table 5'!F11</f>
        <v>112.62682117</v>
      </c>
      <c r="F10" s="53">
        <f>'ONS Table 4'!J11+'ONS Table 5'!K11</f>
        <v>1947</v>
      </c>
      <c r="G10" s="55">
        <v>5794547</v>
      </c>
      <c r="H10" s="54">
        <f>'ONS Table 4'!L11+'ONS Table 5'!M11</f>
        <v>22.024912393000001</v>
      </c>
      <c r="I10" s="53">
        <f>'ONS Table 4'!Q11+'ONS Table 5'!R11</f>
        <v>2889</v>
      </c>
      <c r="J10" s="55">
        <v>4170308</v>
      </c>
      <c r="K10" s="54">
        <f>'ONS Table 4'!S11+'ONS Table 5'!T11</f>
        <v>16.382437564</v>
      </c>
      <c r="L10" s="53">
        <f>'ONS Table 4'!X11+'ONS Table 5'!Y11</f>
        <v>219</v>
      </c>
      <c r="M10" s="55">
        <v>435150</v>
      </c>
      <c r="N10" s="62">
        <f>'ONS Table 4'!Z11+'ONS Table 5'!AA11</f>
        <v>5.1757890790000003</v>
      </c>
      <c r="O10" s="55">
        <f t="shared" si="0"/>
        <v>10400005</v>
      </c>
      <c r="P10" s="63">
        <f t="shared" si="1"/>
        <v>19.057341326518355</v>
      </c>
    </row>
    <row r="11" spans="1:16" x14ac:dyDescent="0.35">
      <c r="A11" s="18">
        <v>44246</v>
      </c>
      <c r="B11" s="19">
        <v>7</v>
      </c>
      <c r="C11" s="61">
        <f>'ONS Table 4'!C12+'ONS Table 5'!D12</f>
        <v>4623</v>
      </c>
      <c r="D11" s="55">
        <v>27025851</v>
      </c>
      <c r="E11" s="54">
        <f>'ONS Table 4'!E12+'ONS Table 5'!F12</f>
        <v>104.12897516999999</v>
      </c>
      <c r="F11" s="53">
        <f>'ONS Table 4'!J12+'ONS Table 5'!K12</f>
        <v>1541</v>
      </c>
      <c r="G11" s="55">
        <v>5877448</v>
      </c>
      <c r="H11" s="54">
        <f>'ONS Table 4'!L12+'ONS Table 5'!M12</f>
        <v>29.116374772</v>
      </c>
      <c r="I11" s="53">
        <f>'ONS Table 4'!Q12+'ONS Table 5'!R12</f>
        <v>3964</v>
      </c>
      <c r="J11" s="55">
        <v>5984438</v>
      </c>
      <c r="K11" s="54">
        <f>'ONS Table 4'!S12+'ONS Table 5'!T12</f>
        <v>17.287191417999999</v>
      </c>
      <c r="L11" s="53">
        <f>'ONS Table 4'!X12+'ONS Table 5'!Y12</f>
        <v>231</v>
      </c>
      <c r="M11" s="55">
        <v>452826</v>
      </c>
      <c r="N11" s="62">
        <f>'ONS Table 4'!Z12+'ONS Table 5'!AA12</f>
        <v>8.0357333889999989</v>
      </c>
      <c r="O11" s="55">
        <f t="shared" si="0"/>
        <v>12314712</v>
      </c>
      <c r="P11" s="63">
        <f t="shared" si="1"/>
        <v>22.592724288940111</v>
      </c>
    </row>
    <row r="12" spans="1:16" x14ac:dyDescent="0.35">
      <c r="A12" s="18">
        <v>44253</v>
      </c>
      <c r="B12" s="19">
        <v>8</v>
      </c>
      <c r="C12" s="61">
        <f>'ONS Table 4'!C13+'ONS Table 5'!D13</f>
        <v>3195</v>
      </c>
      <c r="D12" s="55">
        <v>25261345</v>
      </c>
      <c r="E12" s="54">
        <f>'ONS Table 4'!E13+'ONS Table 5'!F13</f>
        <v>79.377318580000008</v>
      </c>
      <c r="F12" s="53">
        <f>'ONS Table 4'!J13+'ONS Table 5'!K13</f>
        <v>1262</v>
      </c>
      <c r="G12" s="55">
        <v>5753015</v>
      </c>
      <c r="H12" s="54">
        <f>'ONS Table 4'!L13+'ONS Table 5'!M13</f>
        <v>39.219470129999998</v>
      </c>
      <c r="I12" s="53">
        <f>'ONS Table 4'!Q13+'ONS Table 5'!R13</f>
        <v>4455</v>
      </c>
      <c r="J12" s="55">
        <v>7815751</v>
      </c>
      <c r="K12" s="54">
        <f>'ONS Table 4'!S13+'ONS Table 5'!T13</f>
        <v>17.078867593999998</v>
      </c>
      <c r="L12" s="53">
        <f>'ONS Table 4'!X13+'ONS Table 5'!Y13</f>
        <v>241</v>
      </c>
      <c r="M12" s="55">
        <v>510095</v>
      </c>
      <c r="N12" s="62">
        <f>'ONS Table 5'!AA13</f>
        <v>5.8840064600000002</v>
      </c>
      <c r="O12" s="55">
        <f t="shared" si="0"/>
        <v>14078861</v>
      </c>
      <c r="P12" s="63">
        <f t="shared" si="1"/>
        <v>25.720530851311672</v>
      </c>
    </row>
    <row r="13" spans="1:16" x14ac:dyDescent="0.35">
      <c r="A13" s="18">
        <v>44260</v>
      </c>
      <c r="B13" s="19">
        <v>9</v>
      </c>
      <c r="C13" s="61">
        <f>'ONS Table 4'!C14+'ONS Table 5'!D14</f>
        <v>2493</v>
      </c>
      <c r="D13" s="55">
        <v>23795540</v>
      </c>
      <c r="E13" s="54">
        <f>'ONS Table 4'!E14+'ONS Table 5'!F14</f>
        <v>65.885689970000001</v>
      </c>
      <c r="F13" s="53">
        <f>'ONS Table 4'!J14+'ONS Table 5'!K14</f>
        <v>761</v>
      </c>
      <c r="G13" s="55">
        <v>5159690</v>
      </c>
      <c r="H13" s="54">
        <f>'ONS Table 4'!L14+'ONS Table 5'!M14</f>
        <v>50.809659130999997</v>
      </c>
      <c r="I13" s="53">
        <f>'ONS Table 4'!Q14+'ONS Table 5'!R14</f>
        <v>4545</v>
      </c>
      <c r="J13" s="55">
        <v>9709045</v>
      </c>
      <c r="K13" s="54">
        <f>'ONS Table 4'!S14+'ONS Table 5'!T14</f>
        <v>16.600269193999999</v>
      </c>
      <c r="L13" s="53">
        <f>'ONS Table 4'!X14+'ONS Table 5'!Y14</f>
        <v>265</v>
      </c>
      <c r="M13" s="55">
        <v>676798</v>
      </c>
      <c r="N13" s="62">
        <f>'ONS Table 5'!AA14</f>
        <v>7.796158395</v>
      </c>
      <c r="O13" s="55">
        <f t="shared" si="0"/>
        <v>15545533</v>
      </c>
      <c r="P13" s="63">
        <f t="shared" si="1"/>
        <v>27.571346389198002</v>
      </c>
    </row>
    <row r="14" spans="1:16" x14ac:dyDescent="0.35">
      <c r="A14" s="18">
        <v>44267</v>
      </c>
      <c r="B14" s="19">
        <v>10</v>
      </c>
      <c r="C14" s="61">
        <f>'ONS Table 4'!C15+'ONS Table 5'!D15</f>
        <v>2009</v>
      </c>
      <c r="D14" s="55">
        <v>22496119</v>
      </c>
      <c r="E14" s="54">
        <f>'ONS Table 4'!E15+'ONS Table 5'!F15</f>
        <v>56.039162260000005</v>
      </c>
      <c r="F14" s="53">
        <f>'ONS Table 4'!J15+'ONS Table 5'!K15</f>
        <v>477</v>
      </c>
      <c r="G14" s="55">
        <v>4544647</v>
      </c>
      <c r="H14" s="54">
        <f>'ONS Table 4'!L15+'ONS Table 5'!M15</f>
        <v>49.843234273</v>
      </c>
      <c r="I14" s="53">
        <f>'ONS Table 4'!Q15+'ONS Table 5'!R15</f>
        <v>5170</v>
      </c>
      <c r="J14" s="55">
        <v>11357055</v>
      </c>
      <c r="K14" s="54">
        <f>'ONS Table 4'!S15+'ONS Table 5'!T15</f>
        <v>18.209922646999999</v>
      </c>
      <c r="L14" s="53">
        <f>'ONS Table 4'!X15+'ONS Table 5'!Y15</f>
        <v>363</v>
      </c>
      <c r="M14" s="55">
        <v>944609</v>
      </c>
      <c r="N14" s="62">
        <f>'ONS Table 4'!Z15+'ONS Table 5'!AA15</f>
        <v>8.1165660889999991</v>
      </c>
      <c r="O14" s="55">
        <f t="shared" si="0"/>
        <v>16846311</v>
      </c>
      <c r="P14" s="63">
        <f t="shared" si="1"/>
        <v>26.177718049582214</v>
      </c>
    </row>
    <row r="15" spans="1:16" x14ac:dyDescent="0.35">
      <c r="A15" s="18">
        <v>44274</v>
      </c>
      <c r="B15" s="19">
        <v>11</v>
      </c>
      <c r="C15" s="61">
        <f>'ONS Table 4'!C16+'ONS Table 5'!D16</f>
        <v>1609</v>
      </c>
      <c r="D15" s="55">
        <v>20222106</v>
      </c>
      <c r="E15" s="54">
        <f>'ONS Table 4'!E16+'ONS Table 5'!F16</f>
        <v>49.557685892999999</v>
      </c>
      <c r="F15" s="53">
        <f>'ONS Table 4'!J16+'ONS Table 5'!K16</f>
        <v>336</v>
      </c>
      <c r="G15" s="55">
        <v>5050636</v>
      </c>
      <c r="H15" s="54">
        <f>'ONS Table 4'!L16+'ONS Table 5'!M16</f>
        <v>56.039466321000006</v>
      </c>
      <c r="I15" s="53">
        <f>'ONS Table 4'!Q16+'ONS Table 5'!R16</f>
        <v>5154</v>
      </c>
      <c r="J15" s="55">
        <v>12736263</v>
      </c>
      <c r="K15" s="54">
        <f>'ONS Table 4'!S16+'ONS Table 5'!T16</f>
        <v>18.097602419000001</v>
      </c>
      <c r="L15" s="53">
        <f>'ONS Table 4'!X16+'ONS Table 5'!Y16</f>
        <v>479</v>
      </c>
      <c r="M15" s="55">
        <v>1333720</v>
      </c>
      <c r="N15" s="62">
        <f>'ONS Table 5'!AA16</f>
        <v>7.039687121</v>
      </c>
      <c r="O15" s="55">
        <f t="shared" si="0"/>
        <v>19120619</v>
      </c>
      <c r="P15" s="63">
        <f t="shared" si="1"/>
        <v>27.34847347810604</v>
      </c>
    </row>
    <row r="16" spans="1:16" x14ac:dyDescent="0.35">
      <c r="A16" s="18">
        <v>44281</v>
      </c>
      <c r="B16" s="19">
        <v>12</v>
      </c>
      <c r="C16" s="61">
        <f>'ONS Table 4'!C17+'ONS Table 5'!D17</f>
        <v>1349</v>
      </c>
      <c r="D16" s="55">
        <v>18316034</v>
      </c>
      <c r="E16" s="54">
        <f>'ONS Table 4'!E17+'ONS Table 5'!F17</f>
        <v>46.038930517000004</v>
      </c>
      <c r="F16" s="53">
        <f>'ONS Table 4'!J17+'ONS Table 5'!K17</f>
        <v>250</v>
      </c>
      <c r="G16" s="55">
        <v>5482719</v>
      </c>
      <c r="H16" s="54">
        <f>'ONS Table 4'!L17+'ONS Table 5'!M17</f>
        <v>40.511267074000003</v>
      </c>
      <c r="I16" s="53">
        <f>'ONS Table 4'!Q17+'ONS Table 5'!R17</f>
        <v>5037</v>
      </c>
      <c r="J16" s="55">
        <v>13360491</v>
      </c>
      <c r="K16" s="54">
        <f>'ONS Table 4'!S17+'ONS Table 5'!T17</f>
        <v>19.666868996999998</v>
      </c>
      <c r="L16" s="53">
        <f>'ONS Table 4'!X17+'ONS Table 5'!Y17</f>
        <v>728</v>
      </c>
      <c r="M16" s="55">
        <v>2183425</v>
      </c>
      <c r="N16" s="62">
        <f>'ONS Table 4'!Z17+'ONS Table 5'!AA17</f>
        <v>7.5331971959999997</v>
      </c>
      <c r="O16" s="55">
        <f t="shared" si="0"/>
        <v>21026635</v>
      </c>
      <c r="P16" s="63">
        <f t="shared" si="1"/>
        <v>23.842097940111103</v>
      </c>
    </row>
    <row r="17" spans="1:16" x14ac:dyDescent="0.35">
      <c r="A17" s="18">
        <v>44288</v>
      </c>
      <c r="B17" s="19">
        <v>13</v>
      </c>
      <c r="C17" s="61">
        <f>'ONS Table 4'!C18+'ONS Table 5'!D18</f>
        <v>1115</v>
      </c>
      <c r="D17" s="55">
        <v>17224336</v>
      </c>
      <c r="E17" s="54">
        <f>'ONS Table 4'!E18+'ONS Table 5'!F18</f>
        <v>42.007698573000006</v>
      </c>
      <c r="F17" s="53">
        <f>'ONS Table 4'!J18+'ONS Table 5'!K18</f>
        <v>198</v>
      </c>
      <c r="G17" s="55">
        <v>5251694</v>
      </c>
      <c r="H17" s="54">
        <f>'ONS Table 5'!M18</f>
        <v>39.931248910000001</v>
      </c>
      <c r="I17" s="53">
        <f>'ONS Table 4'!Q18+'ONS Table 5'!R18</f>
        <v>4691</v>
      </c>
      <c r="J17" s="55">
        <v>13067664</v>
      </c>
      <c r="K17" s="54">
        <f>'ONS Table 4'!S18+'ONS Table 5'!T18</f>
        <v>25.198602914999999</v>
      </c>
      <c r="L17" s="53">
        <f>'ONS Table 4'!X18+'ONS Table 5'!Y18</f>
        <v>1185</v>
      </c>
      <c r="M17" s="55">
        <v>3792492</v>
      </c>
      <c r="N17" s="62">
        <f>'ONS Table 4'!Z18+'ONS Table 5'!AA18</f>
        <v>7.4949593370000001</v>
      </c>
      <c r="O17" s="55">
        <f t="shared" si="0"/>
        <v>22111850</v>
      </c>
      <c r="P17" s="63">
        <f t="shared" si="1"/>
        <v>25.661269853119116</v>
      </c>
    </row>
    <row r="18" spans="1:16" x14ac:dyDescent="0.35">
      <c r="A18" s="18">
        <v>44295</v>
      </c>
      <c r="B18" s="19">
        <v>14</v>
      </c>
      <c r="C18" s="61">
        <f>'ONS Table 4'!C19+'ONS Table 5'!D19</f>
        <v>1003</v>
      </c>
      <c r="D18" s="55">
        <v>16960669</v>
      </c>
      <c r="E18" s="54">
        <f>'ONS Table 4'!E19+'ONS Table 5'!F19</f>
        <v>39.677670254999995</v>
      </c>
      <c r="F18" s="53">
        <f>'ONS Table 4'!J19+'ONS Table 5'!K19</f>
        <v>133</v>
      </c>
      <c r="G18" s="55">
        <v>3211115</v>
      </c>
      <c r="H18" s="54">
        <f>'ONS Table 5'!M19</f>
        <v>35.948213019999997</v>
      </c>
      <c r="I18" s="53">
        <f>'ONS Table 4'!Q19+'ONS Table 5'!R19</f>
        <v>4274</v>
      </c>
      <c r="J18" s="55">
        <v>13722962</v>
      </c>
      <c r="K18" s="54">
        <f>'ONS Table 4'!S19+'ONS Table 5'!T19</f>
        <v>33.430478266999998</v>
      </c>
      <c r="L18" s="53">
        <f>'ONS Table 4'!X19+'ONS Table 5'!Y19</f>
        <v>1712</v>
      </c>
      <c r="M18" s="55">
        <v>5434251</v>
      </c>
      <c r="N18" s="62">
        <f>'ONS Table 4'!Z19+'ONS Table 5'!AA19</f>
        <v>7.5231101199999992</v>
      </c>
      <c r="O18" s="55">
        <f t="shared" si="0"/>
        <v>22368328</v>
      </c>
      <c r="P18" s="63">
        <f t="shared" si="1"/>
        <v>27.497875462319055</v>
      </c>
    </row>
    <row r="19" spans="1:16" x14ac:dyDescent="0.35">
      <c r="A19" s="18">
        <v>44302</v>
      </c>
      <c r="B19" s="19">
        <v>15</v>
      </c>
      <c r="C19" s="61">
        <f>'ONS Table 4'!C20+'ONS Table 5'!D20</f>
        <v>928</v>
      </c>
      <c r="D19" s="55">
        <v>16544821</v>
      </c>
      <c r="E19" s="54">
        <f>'ONS Table 4'!E20+'ONS Table 5'!F20</f>
        <v>38.663880118999998</v>
      </c>
      <c r="F19" s="53">
        <f>'ONS Table 4'!J20+'ONS Table 5'!K20</f>
        <v>96</v>
      </c>
      <c r="G19" s="55">
        <v>1664254</v>
      </c>
      <c r="H19" s="54">
        <f>'ONS Table 5'!M20</f>
        <v>45.370718279999998</v>
      </c>
      <c r="I19" s="53">
        <f>'ONS Table 4'!Q20+'ONS Table 5'!R20</f>
        <v>3819</v>
      </c>
      <c r="J19" s="55">
        <v>13828421</v>
      </c>
      <c r="K19" s="54">
        <f>'ONS Table 4'!S20+'ONS Table 5'!T20</f>
        <v>47.424784741000003</v>
      </c>
      <c r="L19" s="53">
        <f>'ONS Table 4'!X20+'ONS Table 5'!Y20</f>
        <v>2299</v>
      </c>
      <c r="M19" s="55">
        <v>7284379</v>
      </c>
      <c r="N19" s="62">
        <f>'ONS Table 4'!Z20+'ONS Table 5'!AA20</f>
        <v>8.406395367</v>
      </c>
      <c r="O19" s="55">
        <f t="shared" si="0"/>
        <v>22777054</v>
      </c>
      <c r="P19" s="63">
        <f t="shared" si="1"/>
        <v>34.796144334133778</v>
      </c>
    </row>
    <row r="20" spans="1:16" x14ac:dyDescent="0.35">
      <c r="A20" s="18">
        <v>44309</v>
      </c>
      <c r="B20" s="19">
        <v>16</v>
      </c>
      <c r="C20" s="61">
        <f>'ONS Table 4'!C21+'ONS Table 5'!D21</f>
        <v>841</v>
      </c>
      <c r="D20" s="55">
        <v>15927073</v>
      </c>
      <c r="E20" s="54">
        <f>'ONS Table 4'!E21+'ONS Table 5'!F21</f>
        <v>40.653214460999997</v>
      </c>
      <c r="F20" s="53">
        <f>'ONS Table 4'!J21+'ONS Table 5'!K21</f>
        <v>47</v>
      </c>
      <c r="G20" s="55">
        <v>1078637</v>
      </c>
      <c r="H20" s="54">
        <f>'ONS Table 5'!M21</f>
        <v>46.695777960000001</v>
      </c>
      <c r="I20" s="53">
        <f>'ONS Table 4'!Q21+'ONS Table 5'!R21</f>
        <v>3364</v>
      </c>
      <c r="J20" s="55">
        <v>13095580</v>
      </c>
      <c r="K20" s="54">
        <f>'ONS Table 4'!S21+'ONS Table 5'!T21</f>
        <v>63.55004623</v>
      </c>
      <c r="L20" s="53">
        <f>'ONS Table 4'!X21+'ONS Table 5'!Y21</f>
        <v>2960</v>
      </c>
      <c r="M20" s="55">
        <v>9213443</v>
      </c>
      <c r="N20" s="62">
        <f>'ONS Table 4'!Z21+'ONS Table 5'!AA21</f>
        <v>9.4272619639999995</v>
      </c>
      <c r="O20" s="55">
        <f t="shared" si="0"/>
        <v>23387660</v>
      </c>
      <c r="P20" s="63">
        <f t="shared" si="1"/>
        <v>41.45134866042546</v>
      </c>
    </row>
    <row r="21" spans="1:16" x14ac:dyDescent="0.35">
      <c r="A21" s="18">
        <v>44316</v>
      </c>
      <c r="B21" s="19">
        <v>17</v>
      </c>
      <c r="C21" s="61">
        <f>'ONS Table 4'!C22+'ONS Table 5'!D22</f>
        <v>742</v>
      </c>
      <c r="D21" s="55">
        <v>15509284</v>
      </c>
      <c r="E21" s="54">
        <f>'ONS Table 4'!E22+'ONS Table 5'!F22</f>
        <v>38.562253016</v>
      </c>
      <c r="F21" s="53">
        <f>'ONS Table 4'!J22+'ONS Table 5'!K22</f>
        <v>30</v>
      </c>
      <c r="G21" s="55">
        <v>1231898</v>
      </c>
      <c r="H21" s="54">
        <f>'ONS Table 5'!M22</f>
        <v>35.442833919999998</v>
      </c>
      <c r="I21" s="53">
        <f>'ONS Table 4'!Q22+'ONS Table 5'!R22</f>
        <v>2777</v>
      </c>
      <c r="J21" s="55">
        <v>11699011</v>
      </c>
      <c r="K21" s="54">
        <f>'ONS Table 4'!S22+'ONS Table 5'!T22</f>
        <v>79.142194287000009</v>
      </c>
      <c r="L21" s="53">
        <f>'ONS Table 4'!X22+'ONS Table 5'!Y22</f>
        <v>3418</v>
      </c>
      <c r="M21" s="55">
        <v>10867328</v>
      </c>
      <c r="N21" s="62">
        <f>'ONS Table 4'!Z22+'ONS Table 5'!AA22</f>
        <v>10.387010043</v>
      </c>
      <c r="O21" s="55">
        <f t="shared" si="0"/>
        <v>23798237</v>
      </c>
      <c r="P21" s="63">
        <f t="shared" si="1"/>
        <v>45.483470175740564</v>
      </c>
    </row>
    <row r="22" spans="1:16" x14ac:dyDescent="0.35">
      <c r="A22" s="18">
        <v>44323</v>
      </c>
      <c r="B22" s="19">
        <v>18</v>
      </c>
      <c r="C22" s="61">
        <f>'ONS Table 4'!C23+'ONS Table 5'!D23</f>
        <v>623</v>
      </c>
      <c r="D22" s="55">
        <v>15030867</v>
      </c>
      <c r="E22" s="54">
        <f>'ONS Table 4'!E23+'ONS Table 5'!F23</f>
        <v>33.028738551000004</v>
      </c>
      <c r="F22" s="53">
        <f>'ONS Table 4'!J23+'ONS Table 5'!K23</f>
        <v>33</v>
      </c>
      <c r="G22" s="55">
        <v>1347207</v>
      </c>
      <c r="H22" s="54">
        <f>'ONS Table 5'!M23</f>
        <v>36.991169929999998</v>
      </c>
      <c r="I22" s="53">
        <f>'ONS Table 4'!Q23+'ONS Table 5'!R23</f>
        <v>2302</v>
      </c>
      <c r="J22" s="55">
        <v>10393566</v>
      </c>
      <c r="K22" s="54">
        <f>'ONS Table 4'!S23+'ONS Table 5'!T23</f>
        <v>93.952856425000007</v>
      </c>
      <c r="L22" s="53">
        <f>'ONS Table 4'!X23+'ONS Table 5'!Y23</f>
        <v>4165</v>
      </c>
      <c r="M22" s="55">
        <v>12528914</v>
      </c>
      <c r="N22" s="62">
        <f>'ONS Table 4'!Z23+'ONS Table 5'!AA23</f>
        <v>11.825595716</v>
      </c>
      <c r="O22" s="55">
        <f t="shared" si="0"/>
        <v>24269687</v>
      </c>
      <c r="P22" s="63">
        <f t="shared" si="1"/>
        <v>48.393778170034892</v>
      </c>
    </row>
    <row r="23" spans="1:16" x14ac:dyDescent="0.35">
      <c r="A23" s="18">
        <v>44330</v>
      </c>
      <c r="B23" s="19">
        <v>19</v>
      </c>
      <c r="C23" s="61">
        <f>'ONS Table 4'!C24+'ONS Table 5'!D24</f>
        <v>597</v>
      </c>
      <c r="D23" s="55">
        <v>14401995</v>
      </c>
      <c r="E23" s="54">
        <f>'ONS Table 4'!E24+'ONS Table 5'!F24</f>
        <v>31.820284908999998</v>
      </c>
      <c r="F23" s="53">
        <f>'ONS Table 4'!J24+'ONS Table 5'!K24</f>
        <v>30</v>
      </c>
      <c r="G23" s="55">
        <v>1482892</v>
      </c>
      <c r="H23" s="54">
        <f>'ONS Table 5'!M24</f>
        <v>48.0571445</v>
      </c>
      <c r="I23" s="53">
        <f>'ONS Table 4'!Q24+'ONS Table 5'!R24</f>
        <v>1857</v>
      </c>
      <c r="J23" s="55">
        <v>9060935</v>
      </c>
      <c r="K23" s="54">
        <f>'ONS Table 4'!S24+'ONS Table 5'!T24</f>
        <v>98.782000288999996</v>
      </c>
      <c r="L23" s="53">
        <f>'ONS Table 4'!X24+'ONS Table 5'!Y24</f>
        <v>4644</v>
      </c>
      <c r="M23" s="55">
        <v>14347609</v>
      </c>
      <c r="N23" s="62">
        <f>'ONS Table 4'!Z24+'ONS Table 5'!AA24</f>
        <v>12.749560414999999</v>
      </c>
      <c r="O23" s="55">
        <f t="shared" si="0"/>
        <v>24891436</v>
      </c>
      <c r="P23" s="63">
        <f t="shared" si="1"/>
        <v>46.170359422686658</v>
      </c>
    </row>
    <row r="24" spans="1:16" x14ac:dyDescent="0.35">
      <c r="A24" s="18">
        <v>44337</v>
      </c>
      <c r="B24" s="19">
        <v>20</v>
      </c>
      <c r="C24" s="61">
        <f>'ONS Table 4'!C25+'ONS Table 5'!D25</f>
        <v>617</v>
      </c>
      <c r="D24" s="55">
        <v>13574870</v>
      </c>
      <c r="E24" s="54">
        <f>'ONS Table 4'!E25+'ONS Table 5'!F25</f>
        <v>33.508526979999999</v>
      </c>
      <c r="F24" s="53">
        <f>'ONS Table 4'!J25+'ONS Table 5'!K25</f>
        <v>13</v>
      </c>
      <c r="G24" s="55">
        <v>1917779</v>
      </c>
      <c r="H24" s="54">
        <f>'ONS Table 5'!M25</f>
        <v>18.678727139999999</v>
      </c>
      <c r="I24" s="53">
        <f>'ONS Table 4'!Q25+'ONS Table 5'!R25</f>
        <v>1460</v>
      </c>
      <c r="J24" s="55">
        <v>7767800</v>
      </c>
      <c r="K24" s="54">
        <f>'ONS Table 4'!S25+'ONS Table 5'!T25</f>
        <v>98.849633717000003</v>
      </c>
      <c r="L24" s="53">
        <f>'ONS Table 4'!X25+'ONS Table 5'!Y25</f>
        <v>4963</v>
      </c>
      <c r="M24" s="55">
        <v>16025854</v>
      </c>
      <c r="N24" s="62">
        <f>'ONS Table 4'!Z25+'ONS Table 5'!AA25</f>
        <v>13.385249552000001</v>
      </c>
      <c r="O24" s="55">
        <f t="shared" si="0"/>
        <v>25711433</v>
      </c>
      <c r="P24" s="63">
        <f t="shared" si="1"/>
        <v>39.600123047076067</v>
      </c>
    </row>
    <row r="25" spans="1:16" x14ac:dyDescent="0.35">
      <c r="A25" s="18">
        <v>44344</v>
      </c>
      <c r="B25" s="19">
        <v>21</v>
      </c>
      <c r="C25" s="61">
        <f>'ONS Table 4'!C26+'ONS Table 5'!D26</f>
        <v>489</v>
      </c>
      <c r="D25" s="55">
        <v>12851588</v>
      </c>
      <c r="E25" s="54">
        <f>'ONS Table 4'!E26+'ONS Table 5'!F26</f>
        <v>26.741871256</v>
      </c>
      <c r="F25" s="53">
        <f>'ONS Table 4'!J26+'ONS Table 5'!K26</f>
        <v>23</v>
      </c>
      <c r="G25" s="55">
        <v>2165004</v>
      </c>
      <c r="H25" s="54">
        <f>'ONS Table 5'!M26</f>
        <v>27.033407870000001</v>
      </c>
      <c r="I25" s="53">
        <f>'ONS Table 4'!Q26+'ONS Table 5'!R26</f>
        <v>1268</v>
      </c>
      <c r="J25" s="55">
        <v>6225273</v>
      </c>
      <c r="K25" s="54">
        <f>'ONS Table 4'!S26+'ONS Table 5'!T26</f>
        <v>108.295224171</v>
      </c>
      <c r="L25" s="53">
        <f>'ONS Table 4'!X26+'ONS Table 5'!Y26</f>
        <v>5057</v>
      </c>
      <c r="M25" s="55">
        <v>18037385</v>
      </c>
      <c r="N25" s="62">
        <f>'ONS Table 4'!Z26+'ONS Table 5'!AA26</f>
        <v>13.201777461000001</v>
      </c>
      <c r="O25" s="55">
        <f t="shared" si="0"/>
        <v>26427662</v>
      </c>
      <c r="P25" s="63">
        <f t="shared" si="1"/>
        <v>36.735005691431752</v>
      </c>
    </row>
    <row r="26" spans="1:16" x14ac:dyDescent="0.35">
      <c r="A26" s="18">
        <v>44351</v>
      </c>
      <c r="B26" s="19">
        <v>22</v>
      </c>
      <c r="C26" s="61">
        <f>'ONS Table 4'!C27+'ONS Table 5'!D27</f>
        <v>520</v>
      </c>
      <c r="D26" s="55">
        <v>12356247</v>
      </c>
      <c r="E26" s="54">
        <f>'ONS Table 4'!E27+'ONS Table 5'!F27</f>
        <v>29.546190505999999</v>
      </c>
      <c r="F26" s="53">
        <f>'ONS Table 4'!J27+'ONS Table 5'!K27</f>
        <v>18</v>
      </c>
      <c r="G26" s="55">
        <v>2033912</v>
      </c>
      <c r="H26" s="54">
        <f>'ONS Table 5'!M27</f>
        <v>28.47817817</v>
      </c>
      <c r="I26" s="53">
        <f>'ONS Table 4'!Q27+'ONS Table 5'!R27</f>
        <v>1017</v>
      </c>
      <c r="J26" s="55">
        <v>5306785</v>
      </c>
      <c r="K26" s="54">
        <f>'ONS Table 4'!S27+'ONS Table 5'!T27</f>
        <v>100.723915984</v>
      </c>
      <c r="L26" s="53">
        <f>'ONS Table 4'!X27+'ONS Table 5'!Y27</f>
        <v>5352</v>
      </c>
      <c r="M26" s="55">
        <v>19575469</v>
      </c>
      <c r="N26" s="62">
        <f>'ONS Table 4'!Z27+'ONS Table 5'!AA27</f>
        <v>13.721403286999999</v>
      </c>
      <c r="O26" s="55">
        <f t="shared" si="0"/>
        <v>26916166</v>
      </c>
      <c r="P26" s="63">
        <f t="shared" si="1"/>
        <v>31.989889625603404</v>
      </c>
    </row>
    <row r="27" spans="1:16" x14ac:dyDescent="0.35">
      <c r="A27" s="18">
        <v>44358</v>
      </c>
      <c r="B27" s="19">
        <v>23</v>
      </c>
      <c r="C27" s="61">
        <f>'ONS Table 4'!C28+'ONS Table 5'!D28</f>
        <v>450</v>
      </c>
      <c r="D27" s="55">
        <v>11757509</v>
      </c>
      <c r="E27" s="54">
        <f>'ONS Table 4'!E28+'ONS Table 5'!F28</f>
        <v>26.044215647999998</v>
      </c>
      <c r="F27" s="53">
        <f>'ONS Table 4'!J28+'ONS Table 5'!K28</f>
        <v>15</v>
      </c>
      <c r="G27" s="55">
        <v>1806631</v>
      </c>
      <c r="H27" s="54">
        <f>'ONS Table 5'!M28</f>
        <v>33.536608809999997</v>
      </c>
      <c r="I27" s="53">
        <f>'ONS Table 4'!Q28+'ONS Table 5'!R28</f>
        <v>860</v>
      </c>
      <c r="J27" s="55">
        <v>4641596</v>
      </c>
      <c r="K27" s="54">
        <f>'ONS Table 4'!S28+'ONS Table 5'!T28</f>
        <v>99.136279033000008</v>
      </c>
      <c r="L27" s="53">
        <f>'ONS Table 4'!X28+'ONS Table 5'!Y28</f>
        <v>5437</v>
      </c>
      <c r="M27" s="55">
        <v>21059770</v>
      </c>
      <c r="N27" s="62">
        <f>'ONS Table 4'!Z28+'ONS Table 5'!AA28</f>
        <v>13.773644484</v>
      </c>
      <c r="O27" s="55">
        <f t="shared" si="0"/>
        <v>27507997</v>
      </c>
      <c r="P27" s="63">
        <f t="shared" si="1"/>
        <v>29.475378313451337</v>
      </c>
    </row>
    <row r="28" spans="1:16" x14ac:dyDescent="0.35">
      <c r="A28" s="18">
        <v>44365</v>
      </c>
      <c r="B28" s="19">
        <v>24</v>
      </c>
      <c r="C28" s="61">
        <f>'ONS Table 4'!C29+'ONS Table 5'!D29</f>
        <v>461</v>
      </c>
      <c r="D28" s="55">
        <v>10970992</v>
      </c>
      <c r="E28" s="54">
        <f>'ONS Table 4'!E29+'ONS Table 5'!F29</f>
        <v>26.356926990999998</v>
      </c>
      <c r="F28" s="53">
        <f>'ONS Table 4'!J29+'ONS Table 5'!K29</f>
        <v>9</v>
      </c>
      <c r="G28" s="55"/>
      <c r="H28" s="54"/>
      <c r="I28" s="53">
        <f>'ONS Table 4'!Q29+'ONS Table 5'!R29</f>
        <v>712</v>
      </c>
      <c r="J28" s="55">
        <v>4381714</v>
      </c>
      <c r="K28" s="54">
        <f>'ONS Table 4'!S29+'ONS Table 5'!T29</f>
        <v>95.976347809999993</v>
      </c>
      <c r="L28" s="53">
        <f>'ONS Table 4'!X29+'ONS Table 5'!Y29</f>
        <v>5539</v>
      </c>
      <c r="M28" s="55">
        <v>22035117</v>
      </c>
      <c r="N28" s="62">
        <f>'ONS Table 4'!Z29+'ONS Table 5'!AA29</f>
        <v>13.749580347</v>
      </c>
      <c r="O28" s="55">
        <f t="shared" si="0"/>
        <v>26416831</v>
      </c>
      <c r="P28" s="63">
        <f t="shared" si="1"/>
        <v>27.388391836817672</v>
      </c>
    </row>
    <row r="29" spans="1:16" x14ac:dyDescent="0.35">
      <c r="A29" s="18">
        <v>44372</v>
      </c>
      <c r="B29" s="19">
        <v>25</v>
      </c>
      <c r="C29" s="61">
        <f>'ONS Table 4'!C30+'ONS Table 5'!D30</f>
        <v>460</v>
      </c>
      <c r="D29" s="55">
        <v>10125621</v>
      </c>
      <c r="E29" s="54">
        <f>'ONS Table 4'!E30+'ONS Table 5'!F30</f>
        <v>26.311702592000003</v>
      </c>
      <c r="F29" s="53">
        <f>'ONS Table 4'!J30+'ONS Table 5'!K30</f>
        <v>8</v>
      </c>
      <c r="G29" s="55"/>
      <c r="H29" s="54"/>
      <c r="I29" s="53">
        <f>'ONS Table 4'!Q30+'ONS Table 5'!R30</f>
        <v>642</v>
      </c>
      <c r="J29" s="55">
        <v>4235381</v>
      </c>
      <c r="K29" s="54">
        <f>'ONS Table 5'!T30</f>
        <v>95.237917929999995</v>
      </c>
      <c r="L29" s="53">
        <f>'ONS Table 4'!X30+'ONS Table 5'!Y30</f>
        <v>5586</v>
      </c>
      <c r="M29" s="55">
        <v>22669600</v>
      </c>
      <c r="N29" s="62">
        <f>'ONS Table 4'!Z30+'ONS Table 5'!AA30</f>
        <v>14.008039148</v>
      </c>
      <c r="O29" s="55">
        <f t="shared" si="0"/>
        <v>26904981</v>
      </c>
      <c r="P29" s="63">
        <f t="shared" si="1"/>
        <v>26.795243317576851</v>
      </c>
    </row>
    <row r="30" spans="1:16" x14ac:dyDescent="0.35">
      <c r="A30" s="21">
        <v>44379</v>
      </c>
      <c r="B30" s="22">
        <v>26</v>
      </c>
      <c r="C30" s="76">
        <f>'ONS Table 4'!C31+'ONS Table 5'!D31</f>
        <v>436</v>
      </c>
      <c r="D30" s="57">
        <v>9531364</v>
      </c>
      <c r="E30" s="77">
        <f>'ONS Table 4'!E31+'ONS Table 5'!F31</f>
        <v>25.263540835000001</v>
      </c>
      <c r="F30" s="78">
        <f>'ONS Table 4'!J31+'ONS Table 5'!K31</f>
        <v>8</v>
      </c>
      <c r="G30" s="57"/>
      <c r="H30" s="78"/>
      <c r="I30" s="78">
        <f>'ONS Table 4'!Q31+'ONS Table 5'!R31</f>
        <v>568</v>
      </c>
      <c r="J30" s="57">
        <v>4186631</v>
      </c>
      <c r="K30" s="77">
        <f>'ONS Table 4'!S31+'ONS Table 5'!T31</f>
        <v>89.349847393999994</v>
      </c>
      <c r="L30" s="78">
        <f>'ONS Table 4'!X31+'ONS Table 5'!Y31</f>
        <v>5944</v>
      </c>
      <c r="M30" s="57">
        <v>23309568</v>
      </c>
      <c r="N30" s="79">
        <f>'ONS Table 4'!Z31+'ONS Table 5'!AA31</f>
        <v>14.740507317</v>
      </c>
      <c r="O30" s="57">
        <f>G30+J30+M30</f>
        <v>27496199</v>
      </c>
      <c r="P30" s="81">
        <f t="shared" si="1"/>
        <v>26.100687538852139</v>
      </c>
    </row>
    <row r="31" spans="1:16" x14ac:dyDescent="0.35">
      <c r="A31" s="72"/>
      <c r="B31" s="75"/>
      <c r="C31" s="75"/>
      <c r="D31" s="75"/>
      <c r="E31" s="75"/>
      <c r="F31" s="75"/>
      <c r="G31" s="75"/>
      <c r="H31" s="75"/>
      <c r="I31" s="3"/>
      <c r="J31" s="3"/>
      <c r="K31" s="3"/>
      <c r="L31" s="24"/>
      <c r="M31" s="24"/>
      <c r="N31" s="3"/>
      <c r="O31" s="3"/>
    </row>
    <row r="34" spans="7:7" x14ac:dyDescent="0.35">
      <c r="G34" t="s">
        <v>274</v>
      </c>
    </row>
    <row r="35" spans="7:7" x14ac:dyDescent="0.35">
      <c r="G35" t="s">
        <v>275</v>
      </c>
    </row>
    <row r="36" spans="7:7" x14ac:dyDescent="0.35">
      <c r="G36" t="s">
        <v>276</v>
      </c>
    </row>
    <row r="37" spans="7:7" x14ac:dyDescent="0.35">
      <c r="G37" t="s">
        <v>277</v>
      </c>
    </row>
  </sheetData>
  <mergeCells count="6">
    <mergeCell ref="O3:P3"/>
    <mergeCell ref="A1:M1"/>
    <mergeCell ref="C3:E3"/>
    <mergeCell ref="F3:H3"/>
    <mergeCell ref="I3:K3"/>
    <mergeCell ref="L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BF715-B7C1-4398-930C-65E68FD68C96}">
  <dimension ref="A1:AI33"/>
  <sheetViews>
    <sheetView topLeftCell="B1" zoomScale="115" zoomScaleNormal="115" workbookViewId="0">
      <selection activeCell="B6" sqref="B6:H8"/>
    </sheetView>
  </sheetViews>
  <sheetFormatPr defaultRowHeight="14.5" x14ac:dyDescent="0.35"/>
  <cols>
    <col min="3" max="5" width="9.1796875" style="1"/>
    <col min="8" max="8" width="22" customWidth="1"/>
    <col min="9" max="9" width="7.7265625" customWidth="1"/>
    <col min="12" max="12" width="18.7265625" style="1" customWidth="1"/>
    <col min="19" max="19" width="12.453125" customWidth="1"/>
    <col min="21" max="21" width="9.1796875" style="1"/>
    <col min="22" max="23" width="12" bestFit="1" customWidth="1"/>
    <col min="26" max="26" width="10.453125" customWidth="1"/>
  </cols>
  <sheetData>
    <row r="1" spans="1:35" s="1" customFormat="1" x14ac:dyDescent="0.35">
      <c r="A1" s="82" t="s">
        <v>145</v>
      </c>
      <c r="G1" s="174" t="s">
        <v>137</v>
      </c>
      <c r="H1" s="174">
        <v>2021</v>
      </c>
      <c r="L1" s="82">
        <v>2021</v>
      </c>
      <c r="V1" s="82"/>
      <c r="Y1" s="82"/>
      <c r="AA1" s="82"/>
      <c r="AD1" s="82"/>
      <c r="AE1" s="82"/>
      <c r="AF1" s="82"/>
      <c r="AG1" s="82"/>
      <c r="AI1" s="82"/>
    </row>
    <row r="2" spans="1:35" s="82" customFormat="1" x14ac:dyDescent="0.35">
      <c r="B2" s="82" t="s">
        <v>104</v>
      </c>
      <c r="C2" s="82" t="s">
        <v>146</v>
      </c>
      <c r="D2" s="82" t="s">
        <v>147</v>
      </c>
      <c r="E2" s="82" t="s">
        <v>148</v>
      </c>
      <c r="F2" s="82">
        <v>2020</v>
      </c>
      <c r="G2" s="174">
        <v>2021</v>
      </c>
      <c r="H2" s="174" t="s">
        <v>144</v>
      </c>
      <c r="J2" s="82">
        <v>2020</v>
      </c>
      <c r="K2" s="82">
        <v>2021</v>
      </c>
      <c r="L2" s="82" t="s">
        <v>144</v>
      </c>
      <c r="N2" s="82">
        <v>2020</v>
      </c>
      <c r="O2" s="82">
        <v>2021</v>
      </c>
      <c r="P2" s="82" t="s">
        <v>144</v>
      </c>
      <c r="S2" s="82" t="s">
        <v>13</v>
      </c>
    </row>
    <row r="3" spans="1:35" x14ac:dyDescent="0.35">
      <c r="A3" s="1" t="s">
        <v>138</v>
      </c>
      <c r="B3" s="1" t="s">
        <v>139</v>
      </c>
      <c r="C3" s="1">
        <v>0</v>
      </c>
      <c r="D3" s="1">
        <v>1</v>
      </c>
      <c r="E3" s="89">
        <f>ROUNDDOWN(C3+(D3-C3)/2,0)</f>
        <v>0</v>
      </c>
      <c r="F3" s="1">
        <v>47</v>
      </c>
      <c r="G3" s="86">
        <v>31</v>
      </c>
      <c r="H3" s="233">
        <f>G3*$H$28/$H$29</f>
        <v>29.354694907833132</v>
      </c>
      <c r="I3" t="s">
        <v>5</v>
      </c>
      <c r="J3">
        <v>26</v>
      </c>
      <c r="K3">
        <v>14</v>
      </c>
      <c r="L3" s="89">
        <f>K3*$H$28/$H$29</f>
        <v>13.256958990634317</v>
      </c>
      <c r="M3" s="104" t="s">
        <v>6</v>
      </c>
      <c r="N3" s="104">
        <v>21</v>
      </c>
      <c r="O3" s="104">
        <v>17</v>
      </c>
      <c r="P3" s="105">
        <f>O3*$H$28/$H$29</f>
        <v>16.097735917198815</v>
      </c>
      <c r="S3" s="73">
        <f>'ONS Population Estimates 2021'!B4/5</f>
        <v>647889.4</v>
      </c>
      <c r="Y3" s="89"/>
      <c r="AA3" s="89"/>
      <c r="AD3" s="89"/>
      <c r="AF3" s="89"/>
      <c r="AG3" s="89"/>
      <c r="AI3" s="95"/>
    </row>
    <row r="4" spans="1:35" x14ac:dyDescent="0.35">
      <c r="A4" s="1" t="s">
        <v>138</v>
      </c>
      <c r="B4" s="1" t="s">
        <v>140</v>
      </c>
      <c r="C4" s="1">
        <v>1</v>
      </c>
      <c r="D4" s="1">
        <v>5</v>
      </c>
      <c r="E4" s="89">
        <f t="shared" ref="E4:E22" si="0">ROUNDDOWN(C4+(D4-C4)/2,0)</f>
        <v>3</v>
      </c>
      <c r="F4" s="1">
        <v>4</v>
      </c>
      <c r="G4" s="86">
        <v>6</v>
      </c>
      <c r="H4" s="233">
        <f t="shared" ref="H4:H23" si="1">G4*$H$28/$H$29</f>
        <v>5.6815538531289933</v>
      </c>
      <c r="I4" t="s">
        <v>5</v>
      </c>
      <c r="J4">
        <v>3</v>
      </c>
      <c r="K4">
        <v>4</v>
      </c>
      <c r="L4" s="89">
        <f t="shared" ref="L4:L23" si="2">K4*$H$28/$H$29</f>
        <v>3.7877025687526622</v>
      </c>
      <c r="M4" t="s">
        <v>6</v>
      </c>
      <c r="N4">
        <v>1</v>
      </c>
      <c r="O4">
        <v>2</v>
      </c>
      <c r="P4" s="105">
        <f t="shared" ref="P4:P23" si="3">O4*$H$28/$H$29</f>
        <v>1.8938512843763311</v>
      </c>
      <c r="S4" s="73">
        <f>'ONS Population Estimates 2021'!B4*4/5</f>
        <v>2591557.6</v>
      </c>
      <c r="V4" s="1"/>
      <c r="W4" s="1"/>
      <c r="Y4" s="89"/>
      <c r="AA4" s="89"/>
      <c r="AD4" s="89"/>
      <c r="AF4" s="89"/>
      <c r="AG4" s="89"/>
      <c r="AI4" s="95"/>
    </row>
    <row r="5" spans="1:35" x14ac:dyDescent="0.35">
      <c r="A5" s="1" t="s">
        <v>138</v>
      </c>
      <c r="B5" s="1" t="s">
        <v>141</v>
      </c>
      <c r="C5" s="1">
        <v>5</v>
      </c>
      <c r="D5" s="1">
        <v>10</v>
      </c>
      <c r="E5" s="89">
        <f t="shared" si="0"/>
        <v>7</v>
      </c>
      <c r="F5" s="1">
        <v>4</v>
      </c>
      <c r="G5" s="86">
        <v>1</v>
      </c>
      <c r="H5" s="233">
        <f t="shared" si="1"/>
        <v>0.94692564218816555</v>
      </c>
      <c r="I5" t="s">
        <v>5</v>
      </c>
      <c r="J5">
        <v>2</v>
      </c>
      <c r="K5">
        <v>1</v>
      </c>
      <c r="L5" s="89">
        <f t="shared" si="2"/>
        <v>0.94692564218816555</v>
      </c>
      <c r="M5" t="s">
        <v>6</v>
      </c>
      <c r="N5">
        <v>2</v>
      </c>
      <c r="O5">
        <v>0</v>
      </c>
      <c r="P5" s="105">
        <f t="shared" si="3"/>
        <v>0</v>
      </c>
      <c r="S5" s="73">
        <f>'ONS Population Estimates 2021'!B5</f>
        <v>3539458</v>
      </c>
      <c r="V5" s="1"/>
      <c r="W5" s="1"/>
      <c r="Y5" s="89"/>
      <c r="AA5" s="89"/>
      <c r="AD5" s="89"/>
      <c r="AF5" s="89"/>
      <c r="AG5" s="89"/>
      <c r="AI5" s="95"/>
    </row>
    <row r="6" spans="1:35" x14ac:dyDescent="0.35">
      <c r="A6" s="1" t="s">
        <v>138</v>
      </c>
      <c r="B6" s="1" t="s">
        <v>114</v>
      </c>
      <c r="C6" s="1">
        <v>10</v>
      </c>
      <c r="D6" s="1">
        <v>15</v>
      </c>
      <c r="E6" s="89">
        <f t="shared" si="0"/>
        <v>12</v>
      </c>
      <c r="F6" s="1">
        <v>3</v>
      </c>
      <c r="G6" s="86">
        <v>4</v>
      </c>
      <c r="H6" s="233">
        <f t="shared" si="1"/>
        <v>3.7877025687526622</v>
      </c>
      <c r="I6" t="s">
        <v>5</v>
      </c>
      <c r="J6">
        <v>1</v>
      </c>
      <c r="K6">
        <v>4</v>
      </c>
      <c r="L6" s="89">
        <f t="shared" si="2"/>
        <v>3.7877025687526622</v>
      </c>
      <c r="M6" t="s">
        <v>6</v>
      </c>
      <c r="N6">
        <v>2</v>
      </c>
      <c r="O6">
        <v>0</v>
      </c>
      <c r="P6" s="105">
        <f t="shared" si="3"/>
        <v>0</v>
      </c>
      <c r="S6" s="73">
        <f>'ONS Population Estimates 2021'!B6</f>
        <v>3435579</v>
      </c>
      <c r="V6" s="1"/>
      <c r="W6" s="1"/>
      <c r="Y6" s="89"/>
      <c r="AA6" s="89"/>
      <c r="AD6" s="89"/>
      <c r="AF6" s="89"/>
      <c r="AG6" s="89"/>
      <c r="AI6" s="95"/>
    </row>
    <row r="7" spans="1:35" x14ac:dyDescent="0.35">
      <c r="A7" s="1" t="s">
        <v>138</v>
      </c>
      <c r="B7" s="1" t="s">
        <v>115</v>
      </c>
      <c r="C7" s="1">
        <v>15</v>
      </c>
      <c r="D7" s="1">
        <v>20</v>
      </c>
      <c r="E7" s="89">
        <f t="shared" si="0"/>
        <v>17</v>
      </c>
      <c r="F7" s="1">
        <v>2</v>
      </c>
      <c r="G7" s="86">
        <v>23</v>
      </c>
      <c r="H7" s="233">
        <f t="shared" si="1"/>
        <v>21.779289770327807</v>
      </c>
      <c r="I7" t="s">
        <v>5</v>
      </c>
      <c r="J7">
        <v>2</v>
      </c>
      <c r="K7">
        <v>19</v>
      </c>
      <c r="L7" s="89">
        <f t="shared" si="2"/>
        <v>17.991587201575143</v>
      </c>
      <c r="M7" t="s">
        <v>6</v>
      </c>
      <c r="N7">
        <v>0</v>
      </c>
      <c r="O7">
        <v>4</v>
      </c>
      <c r="P7" s="105">
        <f t="shared" si="3"/>
        <v>3.7877025687526622</v>
      </c>
      <c r="S7" s="73">
        <f>'ONS Population Estimates 2021'!B7</f>
        <v>3115871</v>
      </c>
      <c r="V7" s="1"/>
      <c r="W7" s="1"/>
      <c r="Y7" s="89"/>
      <c r="AA7" s="89"/>
      <c r="AD7" s="89"/>
      <c r="AF7" s="89"/>
      <c r="AG7" s="89"/>
      <c r="AI7" s="95"/>
    </row>
    <row r="8" spans="1:35" x14ac:dyDescent="0.35">
      <c r="A8" s="1" t="s">
        <v>138</v>
      </c>
      <c r="B8" s="1" t="s">
        <v>116</v>
      </c>
      <c r="C8" s="1">
        <v>20</v>
      </c>
      <c r="D8" s="1">
        <v>25</v>
      </c>
      <c r="E8" s="89">
        <f t="shared" si="0"/>
        <v>22</v>
      </c>
      <c r="F8" s="1">
        <v>13</v>
      </c>
      <c r="G8" s="86">
        <v>25</v>
      </c>
      <c r="H8" s="233">
        <f t="shared" si="1"/>
        <v>23.673141054704139</v>
      </c>
      <c r="I8" t="s">
        <v>5</v>
      </c>
      <c r="J8">
        <v>12</v>
      </c>
      <c r="K8">
        <v>16</v>
      </c>
      <c r="L8" s="89">
        <f t="shared" si="2"/>
        <v>15.150810275010649</v>
      </c>
      <c r="M8" t="s">
        <v>6</v>
      </c>
      <c r="N8">
        <v>1</v>
      </c>
      <c r="O8">
        <v>9</v>
      </c>
      <c r="P8" s="105">
        <f t="shared" si="3"/>
        <v>8.5223307796934904</v>
      </c>
      <c r="S8" s="73">
        <f>'ONS Population Estimates 2021'!B8</f>
        <v>3472522</v>
      </c>
      <c r="V8" s="1"/>
      <c r="W8" s="1"/>
      <c r="Y8" s="89"/>
      <c r="AA8" s="89"/>
      <c r="AD8" s="89"/>
      <c r="AF8" s="89"/>
      <c r="AG8" s="89"/>
      <c r="AI8" s="95"/>
    </row>
    <row r="9" spans="1:35" x14ac:dyDescent="0.35">
      <c r="A9" s="1" t="s">
        <v>138</v>
      </c>
      <c r="B9" s="1" t="s">
        <v>117</v>
      </c>
      <c r="C9" s="1">
        <v>25</v>
      </c>
      <c r="D9" s="1">
        <v>30</v>
      </c>
      <c r="E9" s="89">
        <f t="shared" si="0"/>
        <v>27</v>
      </c>
      <c r="F9" s="1">
        <v>38</v>
      </c>
      <c r="G9" s="86">
        <v>22</v>
      </c>
      <c r="H9" s="233">
        <f t="shared" si="1"/>
        <v>20.832364128139641</v>
      </c>
      <c r="I9" t="s">
        <v>5</v>
      </c>
      <c r="J9">
        <v>29</v>
      </c>
      <c r="K9">
        <v>13</v>
      </c>
      <c r="L9" s="89">
        <f t="shared" si="2"/>
        <v>12.310033348446151</v>
      </c>
      <c r="M9" t="s">
        <v>6</v>
      </c>
      <c r="N9">
        <v>9</v>
      </c>
      <c r="O9">
        <v>9</v>
      </c>
      <c r="P9" s="105">
        <f t="shared" si="3"/>
        <v>8.5223307796934904</v>
      </c>
      <c r="S9" s="73">
        <f>'ONS Population Estimates 2021'!B9</f>
        <v>3771493</v>
      </c>
      <c r="V9" s="1"/>
      <c r="W9" s="1"/>
      <c r="Y9" s="89"/>
      <c r="AA9" s="89"/>
      <c r="AD9" s="89"/>
      <c r="AF9" s="89"/>
      <c r="AG9" s="89"/>
      <c r="AI9" s="95"/>
    </row>
    <row r="10" spans="1:35" x14ac:dyDescent="0.35">
      <c r="A10" s="1" t="s">
        <v>138</v>
      </c>
      <c r="B10" s="1" t="s">
        <v>118</v>
      </c>
      <c r="C10" s="1">
        <v>30</v>
      </c>
      <c r="D10" s="1">
        <v>35</v>
      </c>
      <c r="E10" s="89">
        <f t="shared" si="0"/>
        <v>32</v>
      </c>
      <c r="F10" s="1">
        <v>28</v>
      </c>
      <c r="G10" s="86">
        <v>43</v>
      </c>
      <c r="H10" s="233">
        <f t="shared" si="1"/>
        <v>40.71780261409112</v>
      </c>
      <c r="I10" t="s">
        <v>5</v>
      </c>
      <c r="J10">
        <v>20</v>
      </c>
      <c r="K10">
        <v>29</v>
      </c>
      <c r="L10" s="89">
        <f t="shared" si="2"/>
        <v>27.4608436234568</v>
      </c>
      <c r="M10" t="s">
        <v>6</v>
      </c>
      <c r="N10">
        <v>8</v>
      </c>
      <c r="O10">
        <v>14</v>
      </c>
      <c r="P10" s="105">
        <f t="shared" si="3"/>
        <v>13.256958990634317</v>
      </c>
      <c r="S10" s="73">
        <f>'ONS Population Estimates 2021'!B10</f>
        <v>3824652</v>
      </c>
      <c r="V10" s="1"/>
      <c r="W10" s="1"/>
      <c r="Y10" s="89"/>
      <c r="AA10" s="89"/>
      <c r="AD10" s="89"/>
      <c r="AF10" s="89"/>
      <c r="AG10" s="89"/>
      <c r="AI10" s="95"/>
    </row>
    <row r="11" spans="1:35" x14ac:dyDescent="0.35">
      <c r="A11" s="1" t="s">
        <v>138</v>
      </c>
      <c r="B11" s="1" t="s">
        <v>119</v>
      </c>
      <c r="C11" s="1">
        <v>35</v>
      </c>
      <c r="D11" s="1">
        <v>40</v>
      </c>
      <c r="E11" s="89">
        <f t="shared" si="0"/>
        <v>37</v>
      </c>
      <c r="F11" s="1">
        <v>48</v>
      </c>
      <c r="G11" s="86">
        <v>69</v>
      </c>
      <c r="H11" s="233">
        <f t="shared" si="1"/>
        <v>65.337869310983422</v>
      </c>
      <c r="I11" t="s">
        <v>5</v>
      </c>
      <c r="J11">
        <v>26</v>
      </c>
      <c r="K11">
        <v>36</v>
      </c>
      <c r="L11" s="89">
        <f t="shared" si="2"/>
        <v>34.089323118773962</v>
      </c>
      <c r="M11" t="s">
        <v>6</v>
      </c>
      <c r="N11">
        <v>22</v>
      </c>
      <c r="O11">
        <v>33</v>
      </c>
      <c r="P11" s="105">
        <f t="shared" si="3"/>
        <v>31.24854619220946</v>
      </c>
      <c r="S11" s="73">
        <f>'ONS Population Estimates 2021'!B11</f>
        <v>3738209</v>
      </c>
      <c r="V11" s="1"/>
      <c r="W11" s="1"/>
      <c r="Y11" s="89"/>
      <c r="AA11" s="89"/>
      <c r="AD11" s="89"/>
      <c r="AF11" s="89"/>
      <c r="AG11" s="89"/>
      <c r="AI11" s="95"/>
    </row>
    <row r="12" spans="1:35" x14ac:dyDescent="0.35">
      <c r="A12" s="1" t="s">
        <v>138</v>
      </c>
      <c r="B12" s="1" t="s">
        <v>120</v>
      </c>
      <c r="C12" s="1">
        <v>40</v>
      </c>
      <c r="D12" s="1">
        <v>45</v>
      </c>
      <c r="E12" s="89">
        <f t="shared" si="0"/>
        <v>42</v>
      </c>
      <c r="F12" s="1">
        <v>90</v>
      </c>
      <c r="G12" s="86">
        <v>110</v>
      </c>
      <c r="H12" s="233">
        <f t="shared" si="1"/>
        <v>104.16182064069821</v>
      </c>
      <c r="I12" t="s">
        <v>5</v>
      </c>
      <c r="J12">
        <v>56</v>
      </c>
      <c r="K12">
        <v>66</v>
      </c>
      <c r="L12" s="89">
        <f t="shared" si="2"/>
        <v>62.49709238441892</v>
      </c>
      <c r="M12" t="s">
        <v>6</v>
      </c>
      <c r="N12">
        <v>34</v>
      </c>
      <c r="O12">
        <v>44</v>
      </c>
      <c r="P12" s="105">
        <f t="shared" si="3"/>
        <v>41.664728256279282</v>
      </c>
      <c r="S12" s="73">
        <f>'ONS Population Estimates 2021'!B12</f>
        <v>3476303</v>
      </c>
      <c r="V12" s="1"/>
      <c r="W12" s="1"/>
      <c r="Y12" s="89"/>
      <c r="AA12" s="89"/>
      <c r="AD12" s="89"/>
      <c r="AF12" s="89"/>
      <c r="AG12" s="89"/>
      <c r="AI12" s="95"/>
    </row>
    <row r="13" spans="1:35" x14ac:dyDescent="0.35">
      <c r="A13" s="1" t="s">
        <v>138</v>
      </c>
      <c r="B13" s="1" t="s">
        <v>121</v>
      </c>
      <c r="C13" s="1">
        <v>45</v>
      </c>
      <c r="D13" s="1">
        <v>50</v>
      </c>
      <c r="E13" s="89">
        <f t="shared" si="0"/>
        <v>47</v>
      </c>
      <c r="F13" s="1">
        <v>159</v>
      </c>
      <c r="G13" s="86">
        <v>159</v>
      </c>
      <c r="H13" s="233">
        <f t="shared" si="1"/>
        <v>150.56117710791833</v>
      </c>
      <c r="I13" t="s">
        <v>5</v>
      </c>
      <c r="J13">
        <v>105</v>
      </c>
      <c r="K13">
        <v>97</v>
      </c>
      <c r="L13" s="89">
        <f t="shared" si="2"/>
        <v>91.851787292252055</v>
      </c>
      <c r="M13" t="s">
        <v>6</v>
      </c>
      <c r="N13">
        <v>54</v>
      </c>
      <c r="O13">
        <v>62</v>
      </c>
      <c r="P13" s="105">
        <f t="shared" si="3"/>
        <v>58.709389815666263</v>
      </c>
      <c r="S13" s="73">
        <f>'ONS Population Estimates 2021'!B13</f>
        <v>3638639</v>
      </c>
      <c r="V13" s="1"/>
      <c r="W13" s="1"/>
      <c r="Y13" s="89"/>
      <c r="AA13" s="89"/>
      <c r="AD13" s="89"/>
      <c r="AF13" s="89"/>
      <c r="AG13" s="89"/>
      <c r="AI13" s="95"/>
    </row>
    <row r="14" spans="1:35" x14ac:dyDescent="0.35">
      <c r="A14" s="1" t="s">
        <v>138</v>
      </c>
      <c r="B14" s="1" t="s">
        <v>122</v>
      </c>
      <c r="C14" s="1">
        <v>50</v>
      </c>
      <c r="D14" s="1">
        <v>55</v>
      </c>
      <c r="E14" s="89">
        <f t="shared" si="0"/>
        <v>52</v>
      </c>
      <c r="F14" s="1">
        <v>232</v>
      </c>
      <c r="G14" s="86">
        <v>221</v>
      </c>
      <c r="H14" s="233">
        <f t="shared" si="1"/>
        <v>209.27056692358457</v>
      </c>
      <c r="I14" t="s">
        <v>5</v>
      </c>
      <c r="J14">
        <v>137</v>
      </c>
      <c r="K14">
        <v>143</v>
      </c>
      <c r="L14" s="89">
        <f t="shared" si="2"/>
        <v>135.41036683290767</v>
      </c>
      <c r="M14" t="s">
        <v>6</v>
      </c>
      <c r="N14">
        <v>95</v>
      </c>
      <c r="O14">
        <v>78</v>
      </c>
      <c r="P14" s="105">
        <f t="shared" si="3"/>
        <v>73.860200090676912</v>
      </c>
      <c r="S14" s="73">
        <f>'ONS Population Estimates 2021'!B14</f>
        <v>3875351</v>
      </c>
      <c r="V14" s="1"/>
      <c r="W14" s="1"/>
      <c r="Y14" s="89"/>
      <c r="AA14" s="89"/>
      <c r="AD14" s="89"/>
      <c r="AF14" s="89"/>
      <c r="AG14" s="89"/>
      <c r="AI14" s="95"/>
    </row>
    <row r="15" spans="1:35" x14ac:dyDescent="0.35">
      <c r="A15" s="1" t="s">
        <v>138</v>
      </c>
      <c r="B15" s="1" t="s">
        <v>123</v>
      </c>
      <c r="C15" s="1">
        <v>55</v>
      </c>
      <c r="D15" s="1">
        <v>60</v>
      </c>
      <c r="E15" s="89">
        <f t="shared" si="0"/>
        <v>57</v>
      </c>
      <c r="F15" s="1">
        <v>335</v>
      </c>
      <c r="G15" s="86">
        <v>354</v>
      </c>
      <c r="H15" s="233">
        <f t="shared" si="1"/>
        <v>335.21167733461061</v>
      </c>
      <c r="I15" t="s">
        <v>5</v>
      </c>
      <c r="J15">
        <v>215</v>
      </c>
      <c r="K15">
        <v>217</v>
      </c>
      <c r="L15" s="89">
        <f t="shared" si="2"/>
        <v>205.48286435483192</v>
      </c>
      <c r="M15" t="s">
        <v>6</v>
      </c>
      <c r="N15">
        <v>120</v>
      </c>
      <c r="O15">
        <v>137</v>
      </c>
      <c r="P15" s="105">
        <f t="shared" si="3"/>
        <v>129.72881297977867</v>
      </c>
      <c r="S15" s="73">
        <f>'ONS Population Estimates 2021'!B15</f>
        <v>3761782</v>
      </c>
      <c r="V15" s="1"/>
      <c r="W15" s="1"/>
      <c r="Y15" s="89"/>
      <c r="AA15" s="89"/>
      <c r="AD15" s="89"/>
      <c r="AF15" s="89"/>
      <c r="AG15" s="89"/>
      <c r="AI15" s="95"/>
    </row>
    <row r="16" spans="1:35" x14ac:dyDescent="0.35">
      <c r="A16" s="1" t="s">
        <v>138</v>
      </c>
      <c r="B16" s="1" t="s">
        <v>124</v>
      </c>
      <c r="C16" s="1">
        <v>60</v>
      </c>
      <c r="D16" s="1">
        <v>65</v>
      </c>
      <c r="E16" s="89">
        <f t="shared" si="0"/>
        <v>62</v>
      </c>
      <c r="F16" s="1">
        <v>424</v>
      </c>
      <c r="G16" s="86">
        <v>482</v>
      </c>
      <c r="H16" s="233">
        <f t="shared" si="1"/>
        <v>456.41815953469575</v>
      </c>
      <c r="I16" t="s">
        <v>5</v>
      </c>
      <c r="J16">
        <v>250</v>
      </c>
      <c r="K16">
        <v>292</v>
      </c>
      <c r="L16" s="89">
        <f t="shared" si="2"/>
        <v>276.50228751894434</v>
      </c>
      <c r="M16" t="s">
        <v>6</v>
      </c>
      <c r="N16">
        <v>174</v>
      </c>
      <c r="O16">
        <v>190</v>
      </c>
      <c r="P16" s="105">
        <f t="shared" si="3"/>
        <v>179.91587201575143</v>
      </c>
      <c r="S16" s="73">
        <f>'ONS Population Estimates 2021'!B16</f>
        <v>3196813</v>
      </c>
      <c r="V16" s="1"/>
      <c r="W16" s="1"/>
      <c r="Y16" s="89"/>
      <c r="AA16" s="89"/>
      <c r="AD16" s="89"/>
      <c r="AF16" s="89"/>
      <c r="AG16" s="89"/>
      <c r="AI16" s="95"/>
    </row>
    <row r="17" spans="1:35" x14ac:dyDescent="0.35">
      <c r="A17" s="1" t="s">
        <v>138</v>
      </c>
      <c r="B17" s="1" t="s">
        <v>125</v>
      </c>
      <c r="C17" s="1">
        <v>65</v>
      </c>
      <c r="D17" s="1">
        <v>70</v>
      </c>
      <c r="E17" s="89">
        <f t="shared" si="0"/>
        <v>67</v>
      </c>
      <c r="F17" s="1">
        <v>598</v>
      </c>
      <c r="G17" s="86">
        <v>567</v>
      </c>
      <c r="H17" s="233">
        <f t="shared" si="1"/>
        <v>536.90683912068982</v>
      </c>
      <c r="I17" t="s">
        <v>5</v>
      </c>
      <c r="J17">
        <v>352</v>
      </c>
      <c r="K17">
        <v>365</v>
      </c>
      <c r="L17" s="89">
        <f t="shared" si="2"/>
        <v>345.62785939868041</v>
      </c>
      <c r="M17" t="s">
        <v>6</v>
      </c>
      <c r="N17">
        <v>246</v>
      </c>
      <c r="O17">
        <v>202</v>
      </c>
      <c r="P17" s="105">
        <f t="shared" si="3"/>
        <v>191.27897972200944</v>
      </c>
      <c r="S17" s="73">
        <f>'ONS Population Estimates 2021'!B17</f>
        <v>2784300</v>
      </c>
      <c r="V17" s="1"/>
      <c r="W17" s="1"/>
      <c r="Y17" s="89"/>
      <c r="AA17" s="89"/>
      <c r="AD17" s="89"/>
      <c r="AF17" s="89"/>
      <c r="AG17" s="89"/>
      <c r="AI17" s="95"/>
    </row>
    <row r="18" spans="1:35" x14ac:dyDescent="0.35">
      <c r="A18" s="1" t="s">
        <v>138</v>
      </c>
      <c r="B18" s="1" t="s">
        <v>126</v>
      </c>
      <c r="C18" s="1">
        <v>70</v>
      </c>
      <c r="D18" s="1">
        <v>75</v>
      </c>
      <c r="E18" s="89">
        <f t="shared" si="0"/>
        <v>72</v>
      </c>
      <c r="F18" s="1">
        <v>970</v>
      </c>
      <c r="G18" s="86">
        <v>941</v>
      </c>
      <c r="H18" s="233">
        <f t="shared" si="1"/>
        <v>891.05702929906374</v>
      </c>
      <c r="I18" t="s">
        <v>5</v>
      </c>
      <c r="J18">
        <v>535</v>
      </c>
      <c r="K18">
        <v>555</v>
      </c>
      <c r="L18" s="89">
        <f t="shared" si="2"/>
        <v>525.54373141443182</v>
      </c>
      <c r="M18" t="s">
        <v>6</v>
      </c>
      <c r="N18">
        <v>435</v>
      </c>
      <c r="O18">
        <v>386</v>
      </c>
      <c r="P18" s="105">
        <f t="shared" si="3"/>
        <v>365.51329788463187</v>
      </c>
      <c r="S18" s="73">
        <f>'ONS Population Estimates 2021'!B18</f>
        <v>2814128</v>
      </c>
      <c r="V18" s="1"/>
      <c r="W18" s="1"/>
      <c r="Y18" s="89"/>
      <c r="AA18" s="89"/>
      <c r="AD18" s="89"/>
      <c r="AF18" s="89"/>
      <c r="AG18" s="89"/>
      <c r="AI18" s="95"/>
    </row>
    <row r="19" spans="1:35" x14ac:dyDescent="0.35">
      <c r="A19" s="1" t="s">
        <v>138</v>
      </c>
      <c r="B19" s="1" t="s">
        <v>127</v>
      </c>
      <c r="C19" s="1">
        <v>75</v>
      </c>
      <c r="D19" s="1">
        <v>80</v>
      </c>
      <c r="E19" s="89">
        <f t="shared" si="0"/>
        <v>77</v>
      </c>
      <c r="F19" s="1">
        <v>1152</v>
      </c>
      <c r="G19" s="86">
        <v>1165</v>
      </c>
      <c r="H19" s="233">
        <f t="shared" si="1"/>
        <v>1103.1683731492128</v>
      </c>
      <c r="I19" t="s">
        <v>5</v>
      </c>
      <c r="J19">
        <v>627</v>
      </c>
      <c r="K19">
        <v>656</v>
      </c>
      <c r="L19" s="89">
        <f t="shared" si="2"/>
        <v>621.18322127543661</v>
      </c>
      <c r="M19" t="s">
        <v>6</v>
      </c>
      <c r="N19">
        <v>525</v>
      </c>
      <c r="O19">
        <v>509</v>
      </c>
      <c r="P19" s="105">
        <f t="shared" si="3"/>
        <v>481.98515187377626</v>
      </c>
      <c r="S19" s="73">
        <f>'ONS Population Estimates 2021'!B19</f>
        <v>2009992</v>
      </c>
      <c r="V19" s="1"/>
      <c r="W19" s="1"/>
      <c r="Y19" s="89"/>
      <c r="AA19" s="89"/>
      <c r="AD19" s="89"/>
      <c r="AF19" s="89"/>
      <c r="AG19" s="89"/>
      <c r="AI19" s="95"/>
    </row>
    <row r="20" spans="1:35" x14ac:dyDescent="0.35">
      <c r="A20" s="1" t="s">
        <v>138</v>
      </c>
      <c r="B20" s="1" t="s">
        <v>128</v>
      </c>
      <c r="C20" s="1">
        <v>80</v>
      </c>
      <c r="D20" s="1">
        <v>85</v>
      </c>
      <c r="E20" s="89">
        <f t="shared" si="0"/>
        <v>82</v>
      </c>
      <c r="F20" s="1">
        <v>1455</v>
      </c>
      <c r="G20" s="86">
        <v>1402</v>
      </c>
      <c r="H20" s="233">
        <f t="shared" si="1"/>
        <v>1327.5897503478081</v>
      </c>
      <c r="I20" t="s">
        <v>5</v>
      </c>
      <c r="J20">
        <v>740</v>
      </c>
      <c r="K20">
        <v>748</v>
      </c>
      <c r="L20" s="89">
        <f t="shared" si="2"/>
        <v>708.30038035674784</v>
      </c>
      <c r="M20" t="s">
        <v>6</v>
      </c>
      <c r="N20">
        <v>715</v>
      </c>
      <c r="O20">
        <v>654</v>
      </c>
      <c r="P20" s="105">
        <f t="shared" si="3"/>
        <v>619.2893699910602</v>
      </c>
      <c r="S20" s="73">
        <f>'ONS Population Estimates 2021'!B20</f>
        <v>1449189</v>
      </c>
      <c r="V20" s="1"/>
      <c r="W20" s="1"/>
      <c r="Y20" s="89"/>
      <c r="AA20" s="89"/>
      <c r="AD20" s="89"/>
      <c r="AF20" s="89"/>
      <c r="AG20" s="89"/>
      <c r="AI20" s="95"/>
    </row>
    <row r="21" spans="1:35" x14ac:dyDescent="0.35">
      <c r="A21" s="1" t="s">
        <v>138</v>
      </c>
      <c r="B21" s="1" t="s">
        <v>129</v>
      </c>
      <c r="C21" s="1">
        <v>85</v>
      </c>
      <c r="D21" s="1">
        <v>90</v>
      </c>
      <c r="E21" s="89">
        <f t="shared" si="0"/>
        <v>87</v>
      </c>
      <c r="F21" s="1">
        <v>1546</v>
      </c>
      <c r="G21" s="86">
        <v>1466</v>
      </c>
      <c r="H21" s="233">
        <f t="shared" si="1"/>
        <v>1388.1929914478505</v>
      </c>
      <c r="I21" t="s">
        <v>5</v>
      </c>
      <c r="J21">
        <v>743</v>
      </c>
      <c r="K21">
        <v>689</v>
      </c>
      <c r="L21" s="89">
        <f t="shared" si="2"/>
        <v>652.43176746764607</v>
      </c>
      <c r="M21" t="s">
        <v>6</v>
      </c>
      <c r="N21">
        <v>803</v>
      </c>
      <c r="O21">
        <v>777</v>
      </c>
      <c r="P21" s="105">
        <f t="shared" si="3"/>
        <v>735.76122398020459</v>
      </c>
      <c r="S21" s="73">
        <f>'ONS Population Estimates 2021'!B21</f>
        <v>885343</v>
      </c>
      <c r="V21" s="1"/>
      <c r="W21" s="1"/>
      <c r="Y21" s="89"/>
      <c r="AA21" s="89"/>
      <c r="AD21" s="89"/>
      <c r="AF21" s="89"/>
      <c r="AG21" s="89"/>
      <c r="AI21" s="95"/>
    </row>
    <row r="22" spans="1:35" x14ac:dyDescent="0.35">
      <c r="A22" s="1" t="s">
        <v>138</v>
      </c>
      <c r="B22" s="1" t="s">
        <v>142</v>
      </c>
      <c r="C22" s="1">
        <v>90</v>
      </c>
      <c r="D22" s="1">
        <v>100</v>
      </c>
      <c r="E22" s="89">
        <f t="shared" si="0"/>
        <v>95</v>
      </c>
      <c r="F22" s="1">
        <v>1831</v>
      </c>
      <c r="G22" s="86">
        <v>1717</v>
      </c>
      <c r="H22" s="233">
        <f t="shared" si="1"/>
        <v>1625.8713276370802</v>
      </c>
      <c r="I22" t="s">
        <v>5</v>
      </c>
      <c r="J22">
        <v>619</v>
      </c>
      <c r="K22">
        <v>600</v>
      </c>
      <c r="L22" s="89">
        <f t="shared" si="2"/>
        <v>568.15538531289928</v>
      </c>
      <c r="M22" t="s">
        <v>6</v>
      </c>
      <c r="N22">
        <v>1212</v>
      </c>
      <c r="O22">
        <v>1117</v>
      </c>
      <c r="P22" s="105">
        <f t="shared" si="3"/>
        <v>1057.7159423241808</v>
      </c>
      <c r="S22" s="73">
        <f>'ONS Population Estimates 2021'!B22</f>
        <v>521067</v>
      </c>
      <c r="V22" s="1"/>
      <c r="W22" s="1"/>
      <c r="Y22" s="89"/>
      <c r="AA22" s="89"/>
      <c r="AD22" s="89"/>
      <c r="AF22" s="89"/>
      <c r="AG22" s="89"/>
      <c r="AI22" s="95"/>
    </row>
    <row r="23" spans="1:35" s="82" customFormat="1" x14ac:dyDescent="0.35">
      <c r="B23" s="82" t="s">
        <v>143</v>
      </c>
      <c r="F23" s="82">
        <v>8979</v>
      </c>
      <c r="G23" s="174">
        <v>8808</v>
      </c>
      <c r="H23" s="234">
        <f t="shared" si="1"/>
        <v>8340.5210563933615</v>
      </c>
      <c r="I23" s="82" t="s">
        <v>5</v>
      </c>
      <c r="J23" s="82">
        <f>SUM(J3:J22)</f>
        <v>4500</v>
      </c>
      <c r="K23" s="82">
        <f>SUM(K3:K22)</f>
        <v>4564</v>
      </c>
      <c r="L23" s="106">
        <f t="shared" si="2"/>
        <v>4321.7686309467872</v>
      </c>
      <c r="M23" s="82" t="s">
        <v>6</v>
      </c>
      <c r="N23" s="82">
        <f>SUM(N3:N22)</f>
        <v>4479</v>
      </c>
      <c r="O23" s="82">
        <f>SUM(O3:O22)</f>
        <v>4244</v>
      </c>
      <c r="P23" s="106">
        <f t="shared" si="3"/>
        <v>4018.7524254465743</v>
      </c>
      <c r="S23" s="100">
        <f>SUM(S3:S22)</f>
        <v>56550138</v>
      </c>
      <c r="Y23" s="106"/>
      <c r="Z23" s="106"/>
      <c r="AA23" s="106"/>
      <c r="AD23" s="106"/>
    </row>
    <row r="24" spans="1:35" x14ac:dyDescent="0.35">
      <c r="B24" s="82" t="s">
        <v>257</v>
      </c>
      <c r="G24" s="86"/>
      <c r="H24" s="234">
        <f>SUM(H6:H22)</f>
        <v>8304.5378819902107</v>
      </c>
      <c r="AA24" s="89"/>
    </row>
    <row r="27" spans="1:35" x14ac:dyDescent="0.35">
      <c r="F27" s="235" t="s">
        <v>149</v>
      </c>
      <c r="G27" s="235"/>
      <c r="H27" s="199">
        <v>3169586</v>
      </c>
    </row>
    <row r="28" spans="1:35" x14ac:dyDescent="0.35">
      <c r="F28" s="204" t="s">
        <v>102</v>
      </c>
      <c r="G28" s="204"/>
      <c r="H28" s="200">
        <f>'ONS Population Estimates 2021'!B24</f>
        <v>56550138</v>
      </c>
    </row>
    <row r="29" spans="1:35" x14ac:dyDescent="0.35">
      <c r="F29" s="235" t="s">
        <v>105</v>
      </c>
      <c r="G29" s="235"/>
      <c r="H29" s="199">
        <f>SUM(H27:H28)</f>
        <v>59719724</v>
      </c>
    </row>
    <row r="32" spans="1:35" x14ac:dyDescent="0.35">
      <c r="H32" s="1"/>
    </row>
    <row r="33" spans="7:8" x14ac:dyDescent="0.35">
      <c r="G33" s="236"/>
      <c r="H33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81E1A-5D17-4E0B-86C7-B30082134E1A}">
  <dimension ref="A1:BY85"/>
  <sheetViews>
    <sheetView topLeftCell="A29" workbookViewId="0">
      <selection activeCell="D76" sqref="D76"/>
    </sheetView>
  </sheetViews>
  <sheetFormatPr defaultRowHeight="14.5" x14ac:dyDescent="0.35"/>
  <cols>
    <col min="1" max="77" width="14.54296875" customWidth="1"/>
  </cols>
  <sheetData>
    <row r="1" spans="1:77" ht="18.5" thickBot="1" x14ac:dyDescent="0.4">
      <c r="A1" s="338" t="s">
        <v>150</v>
      </c>
      <c r="B1" s="338" t="s">
        <v>151</v>
      </c>
      <c r="C1" s="335" t="s">
        <v>152</v>
      </c>
      <c r="D1" s="336"/>
      <c r="E1" s="336"/>
      <c r="F1" s="336"/>
      <c r="G1" s="337"/>
      <c r="H1" s="335" t="s">
        <v>153</v>
      </c>
      <c r="I1" s="336"/>
      <c r="J1" s="336"/>
      <c r="K1" s="336"/>
      <c r="L1" s="337"/>
      <c r="M1" s="335" t="s">
        <v>154</v>
      </c>
      <c r="N1" s="336"/>
      <c r="O1" s="336"/>
      <c r="P1" s="336"/>
      <c r="Q1" s="337"/>
      <c r="R1" s="335" t="s">
        <v>155</v>
      </c>
      <c r="S1" s="336"/>
      <c r="T1" s="336"/>
      <c r="U1" s="336"/>
      <c r="V1" s="337"/>
      <c r="W1" s="335" t="s">
        <v>156</v>
      </c>
      <c r="X1" s="336"/>
      <c r="Y1" s="336"/>
      <c r="Z1" s="336"/>
      <c r="AA1" s="337"/>
      <c r="AB1" s="335" t="s">
        <v>157</v>
      </c>
      <c r="AC1" s="336"/>
      <c r="AD1" s="336"/>
      <c r="AE1" s="336"/>
      <c r="AF1" s="337"/>
      <c r="AG1" s="335" t="s">
        <v>158</v>
      </c>
      <c r="AH1" s="336"/>
      <c r="AI1" s="336"/>
      <c r="AJ1" s="336"/>
      <c r="AK1" s="337"/>
      <c r="AL1" s="335" t="s">
        <v>159</v>
      </c>
      <c r="AM1" s="336"/>
      <c r="AN1" s="336"/>
      <c r="AO1" s="336"/>
      <c r="AP1" s="337"/>
      <c r="AQ1" s="335" t="s">
        <v>160</v>
      </c>
      <c r="AR1" s="336"/>
      <c r="AS1" s="336"/>
      <c r="AT1" s="336"/>
      <c r="AU1" s="337"/>
      <c r="AV1" s="335" t="s">
        <v>161</v>
      </c>
      <c r="AW1" s="336"/>
      <c r="AX1" s="336"/>
      <c r="AY1" s="336"/>
      <c r="AZ1" s="337"/>
      <c r="BA1" s="335" t="s">
        <v>162</v>
      </c>
      <c r="BB1" s="336"/>
      <c r="BC1" s="336"/>
      <c r="BD1" s="336"/>
      <c r="BE1" s="337"/>
      <c r="BF1" s="335" t="s">
        <v>163</v>
      </c>
      <c r="BG1" s="336"/>
      <c r="BH1" s="336"/>
      <c r="BI1" s="336"/>
      <c r="BJ1" s="337"/>
      <c r="BK1" s="335" t="s">
        <v>164</v>
      </c>
      <c r="BL1" s="336"/>
      <c r="BM1" s="336"/>
      <c r="BN1" s="336"/>
      <c r="BO1" s="337"/>
      <c r="BP1" s="335" t="s">
        <v>165</v>
      </c>
      <c r="BQ1" s="336"/>
      <c r="BR1" s="336"/>
      <c r="BS1" s="336"/>
      <c r="BT1" s="337"/>
      <c r="BU1" s="335" t="s">
        <v>166</v>
      </c>
      <c r="BV1" s="336"/>
      <c r="BW1" s="336"/>
      <c r="BX1" s="336"/>
      <c r="BY1" s="337"/>
    </row>
    <row r="2" spans="1:77" ht="72.5" thickBot="1" x14ac:dyDescent="0.4">
      <c r="A2" s="339"/>
      <c r="B2" s="339"/>
      <c r="C2" s="107" t="s">
        <v>167</v>
      </c>
      <c r="D2" s="108" t="s">
        <v>168</v>
      </c>
      <c r="E2" s="108" t="s">
        <v>169</v>
      </c>
      <c r="F2" s="108" t="s">
        <v>170</v>
      </c>
      <c r="G2" s="108" t="s">
        <v>171</v>
      </c>
      <c r="H2" s="107" t="s">
        <v>167</v>
      </c>
      <c r="I2" s="108" t="s">
        <v>168</v>
      </c>
      <c r="J2" s="108" t="s">
        <v>169</v>
      </c>
      <c r="K2" s="108" t="s">
        <v>170</v>
      </c>
      <c r="L2" s="108" t="s">
        <v>171</v>
      </c>
      <c r="M2" s="107" t="s">
        <v>167</v>
      </c>
      <c r="N2" s="108" t="s">
        <v>168</v>
      </c>
      <c r="O2" s="108" t="s">
        <v>169</v>
      </c>
      <c r="P2" s="108" t="s">
        <v>170</v>
      </c>
      <c r="Q2" s="108" t="s">
        <v>171</v>
      </c>
      <c r="R2" s="107" t="s">
        <v>167</v>
      </c>
      <c r="S2" s="108" t="s">
        <v>168</v>
      </c>
      <c r="T2" s="108" t="s">
        <v>169</v>
      </c>
      <c r="U2" s="108" t="s">
        <v>170</v>
      </c>
      <c r="V2" s="108" t="s">
        <v>171</v>
      </c>
      <c r="W2" s="107" t="s">
        <v>167</v>
      </c>
      <c r="X2" s="108" t="s">
        <v>168</v>
      </c>
      <c r="Y2" s="108" t="s">
        <v>169</v>
      </c>
      <c r="Z2" s="108" t="s">
        <v>170</v>
      </c>
      <c r="AA2" s="108" t="s">
        <v>171</v>
      </c>
      <c r="AB2" s="107" t="s">
        <v>167</v>
      </c>
      <c r="AC2" s="108" t="s">
        <v>168</v>
      </c>
      <c r="AD2" s="108" t="s">
        <v>169</v>
      </c>
      <c r="AE2" s="108" t="s">
        <v>170</v>
      </c>
      <c r="AF2" s="108" t="s">
        <v>171</v>
      </c>
      <c r="AG2" s="107" t="s">
        <v>167</v>
      </c>
      <c r="AH2" s="108" t="s">
        <v>168</v>
      </c>
      <c r="AI2" s="108" t="s">
        <v>169</v>
      </c>
      <c r="AJ2" s="108" t="s">
        <v>170</v>
      </c>
      <c r="AK2" s="108" t="s">
        <v>171</v>
      </c>
      <c r="AL2" s="107" t="s">
        <v>167</v>
      </c>
      <c r="AM2" s="108" t="s">
        <v>168</v>
      </c>
      <c r="AN2" s="108" t="s">
        <v>169</v>
      </c>
      <c r="AO2" s="108" t="s">
        <v>170</v>
      </c>
      <c r="AP2" s="108" t="s">
        <v>171</v>
      </c>
      <c r="AQ2" s="107" t="s">
        <v>167</v>
      </c>
      <c r="AR2" s="108" t="s">
        <v>168</v>
      </c>
      <c r="AS2" s="108" t="s">
        <v>169</v>
      </c>
      <c r="AT2" s="108" t="s">
        <v>170</v>
      </c>
      <c r="AU2" s="108" t="s">
        <v>171</v>
      </c>
      <c r="AV2" s="107" t="s">
        <v>167</v>
      </c>
      <c r="AW2" s="108" t="s">
        <v>168</v>
      </c>
      <c r="AX2" s="108" t="s">
        <v>169</v>
      </c>
      <c r="AY2" s="108" t="s">
        <v>170</v>
      </c>
      <c r="AZ2" s="108" t="s">
        <v>171</v>
      </c>
      <c r="BA2" s="107" t="s">
        <v>167</v>
      </c>
      <c r="BB2" s="108" t="s">
        <v>168</v>
      </c>
      <c r="BC2" s="108" t="s">
        <v>169</v>
      </c>
      <c r="BD2" s="108" t="s">
        <v>170</v>
      </c>
      <c r="BE2" s="108" t="s">
        <v>171</v>
      </c>
      <c r="BF2" s="107" t="s">
        <v>167</v>
      </c>
      <c r="BG2" s="108" t="s">
        <v>168</v>
      </c>
      <c r="BH2" s="108" t="s">
        <v>169</v>
      </c>
      <c r="BI2" s="108" t="s">
        <v>170</v>
      </c>
      <c r="BJ2" s="108" t="s">
        <v>171</v>
      </c>
      <c r="BK2" s="107" t="s">
        <v>167</v>
      </c>
      <c r="BL2" s="108" t="s">
        <v>168</v>
      </c>
      <c r="BM2" s="108" t="s">
        <v>169</v>
      </c>
      <c r="BN2" s="108" t="s">
        <v>170</v>
      </c>
      <c r="BO2" s="108" t="s">
        <v>171</v>
      </c>
      <c r="BP2" s="107" t="s">
        <v>167</v>
      </c>
      <c r="BQ2" s="108" t="s">
        <v>168</v>
      </c>
      <c r="BR2" s="108" t="s">
        <v>169</v>
      </c>
      <c r="BS2" s="108" t="s">
        <v>170</v>
      </c>
      <c r="BT2" s="108" t="s">
        <v>171</v>
      </c>
      <c r="BU2" s="107" t="s">
        <v>167</v>
      </c>
      <c r="BV2" s="108" t="s">
        <v>168</v>
      </c>
      <c r="BW2" s="108" t="s">
        <v>169</v>
      </c>
      <c r="BX2" s="108" t="s">
        <v>170</v>
      </c>
      <c r="BY2" s="108" t="s">
        <v>171</v>
      </c>
    </row>
    <row r="3" spans="1:77" ht="15.5" x14ac:dyDescent="0.35">
      <c r="A3" s="109">
        <v>50</v>
      </c>
      <c r="B3" s="110">
        <v>44178</v>
      </c>
      <c r="C3" s="111">
        <v>2798871</v>
      </c>
      <c r="D3" s="112">
        <v>14535</v>
      </c>
      <c r="E3" s="113">
        <v>0.51931653870435612</v>
      </c>
      <c r="F3" s="112">
        <v>0</v>
      </c>
      <c r="G3" s="114">
        <v>0</v>
      </c>
      <c r="H3" s="111">
        <v>2079085</v>
      </c>
      <c r="I3" s="112">
        <v>354</v>
      </c>
      <c r="J3" s="113">
        <v>1.7026720889237332E-2</v>
      </c>
      <c r="K3" s="112">
        <v>0</v>
      </c>
      <c r="L3" s="114">
        <v>0</v>
      </c>
      <c r="M3" s="111">
        <v>2872687</v>
      </c>
      <c r="N3" s="112">
        <v>633</v>
      </c>
      <c r="O3" s="113">
        <v>2.2035119036637126E-2</v>
      </c>
      <c r="P3" s="112">
        <v>0</v>
      </c>
      <c r="Q3" s="114">
        <v>0</v>
      </c>
      <c r="R3" s="111">
        <v>2890321</v>
      </c>
      <c r="S3" s="112">
        <v>1583</v>
      </c>
      <c r="T3" s="113">
        <v>5.4769003166084324E-2</v>
      </c>
      <c r="U3" s="112">
        <v>0</v>
      </c>
      <c r="V3" s="114">
        <v>0</v>
      </c>
      <c r="W3" s="111">
        <v>3449617</v>
      </c>
      <c r="X3" s="112">
        <v>4489</v>
      </c>
      <c r="Y3" s="113">
        <v>0.13013038838804422</v>
      </c>
      <c r="Z3" s="112">
        <v>0</v>
      </c>
      <c r="AA3" s="114">
        <v>0</v>
      </c>
      <c r="AB3" s="111">
        <v>4075327</v>
      </c>
      <c r="AC3" s="112">
        <v>5934</v>
      </c>
      <c r="AD3" s="113">
        <v>0.14560794753402609</v>
      </c>
      <c r="AE3" s="112">
        <v>0</v>
      </c>
      <c r="AF3" s="114">
        <v>0</v>
      </c>
      <c r="AG3" s="111">
        <v>4223218</v>
      </c>
      <c r="AH3" s="112">
        <v>6014</v>
      </c>
      <c r="AI3" s="113">
        <v>0.14240325742123661</v>
      </c>
      <c r="AJ3" s="112">
        <v>0</v>
      </c>
      <c r="AK3" s="114">
        <v>0</v>
      </c>
      <c r="AL3" s="111">
        <v>3995609</v>
      </c>
      <c r="AM3" s="112">
        <v>5287</v>
      </c>
      <c r="AN3" s="113">
        <v>0.13232025455944263</v>
      </c>
      <c r="AO3" s="112">
        <v>0</v>
      </c>
      <c r="AP3" s="114">
        <v>0</v>
      </c>
      <c r="AQ3" s="111">
        <v>4119767</v>
      </c>
      <c r="AR3" s="112">
        <v>4418</v>
      </c>
      <c r="AS3" s="113">
        <v>0.10723907444280224</v>
      </c>
      <c r="AT3" s="112">
        <v>0</v>
      </c>
      <c r="AU3" s="114">
        <v>0</v>
      </c>
      <c r="AV3" s="111">
        <v>31436969</v>
      </c>
      <c r="AW3" s="112">
        <v>12564</v>
      </c>
      <c r="AX3" s="113">
        <v>3.9965684986997312E-2</v>
      </c>
      <c r="AY3" s="112">
        <v>0</v>
      </c>
      <c r="AZ3" s="114">
        <v>0</v>
      </c>
      <c r="BA3" s="111">
        <v>4503633</v>
      </c>
      <c r="BB3" s="112">
        <v>3712</v>
      </c>
      <c r="BC3" s="113">
        <v>8.2422346581082426E-2</v>
      </c>
      <c r="BD3" s="112">
        <v>0</v>
      </c>
      <c r="BE3" s="114">
        <v>0</v>
      </c>
      <c r="BF3" s="111">
        <v>4741565</v>
      </c>
      <c r="BG3" s="112">
        <v>3845</v>
      </c>
      <c r="BH3" s="113">
        <v>8.1091369621633366E-2</v>
      </c>
      <c r="BI3" s="112">
        <v>0</v>
      </c>
      <c r="BJ3" s="114">
        <v>0</v>
      </c>
      <c r="BK3" s="111">
        <v>4432950</v>
      </c>
      <c r="BL3" s="112">
        <v>3243</v>
      </c>
      <c r="BM3" s="113">
        <v>7.3156701519304299E-2</v>
      </c>
      <c r="BN3" s="112">
        <v>0</v>
      </c>
      <c r="BO3" s="114">
        <v>0</v>
      </c>
      <c r="BP3" s="111">
        <v>5223481</v>
      </c>
      <c r="BQ3" s="112">
        <v>1737</v>
      </c>
      <c r="BR3" s="113">
        <v>3.3253686574144715E-2</v>
      </c>
      <c r="BS3" s="112">
        <v>0</v>
      </c>
      <c r="BT3" s="114">
        <v>0</v>
      </c>
      <c r="BU3" s="111">
        <v>12535340</v>
      </c>
      <c r="BV3" s="112">
        <v>27</v>
      </c>
      <c r="BW3" s="113">
        <v>2.1539104643352315E-4</v>
      </c>
      <c r="BX3" s="112">
        <v>0</v>
      </c>
      <c r="BY3" s="114">
        <v>0</v>
      </c>
    </row>
    <row r="4" spans="1:77" ht="15.5" x14ac:dyDescent="0.35">
      <c r="A4" s="109">
        <v>51</v>
      </c>
      <c r="B4" s="110">
        <v>44185</v>
      </c>
      <c r="C4" s="115">
        <v>2798871</v>
      </c>
      <c r="D4" s="116">
        <v>396877</v>
      </c>
      <c r="E4" s="117">
        <v>14.179896108109306</v>
      </c>
      <c r="F4" s="116">
        <v>0</v>
      </c>
      <c r="G4" s="118">
        <v>0</v>
      </c>
      <c r="H4" s="115">
        <v>2079085</v>
      </c>
      <c r="I4" s="116">
        <v>6907</v>
      </c>
      <c r="J4" s="117">
        <v>0.33221344966656008</v>
      </c>
      <c r="K4" s="116">
        <v>0</v>
      </c>
      <c r="L4" s="118">
        <v>0</v>
      </c>
      <c r="M4" s="115">
        <v>2872687</v>
      </c>
      <c r="N4" s="116">
        <v>4480</v>
      </c>
      <c r="O4" s="117">
        <v>0.15595155337146024</v>
      </c>
      <c r="P4" s="116">
        <v>0</v>
      </c>
      <c r="Q4" s="118">
        <v>0</v>
      </c>
      <c r="R4" s="115">
        <v>2890321</v>
      </c>
      <c r="S4" s="116">
        <v>7573</v>
      </c>
      <c r="T4" s="117">
        <v>0.26201242007375652</v>
      </c>
      <c r="U4" s="116">
        <v>0</v>
      </c>
      <c r="V4" s="118">
        <v>0</v>
      </c>
      <c r="W4" s="115">
        <v>3449617</v>
      </c>
      <c r="X4" s="116">
        <v>18318</v>
      </c>
      <c r="Y4" s="117">
        <v>0.53101547215241574</v>
      </c>
      <c r="Z4" s="116">
        <v>0</v>
      </c>
      <c r="AA4" s="118">
        <v>0</v>
      </c>
      <c r="AB4" s="115">
        <v>4075327</v>
      </c>
      <c r="AC4" s="116">
        <v>24870</v>
      </c>
      <c r="AD4" s="117">
        <v>0.6102577780875007</v>
      </c>
      <c r="AE4" s="116">
        <v>0</v>
      </c>
      <c r="AF4" s="118">
        <v>0</v>
      </c>
      <c r="AG4" s="115">
        <v>4223218</v>
      </c>
      <c r="AH4" s="116">
        <v>24095</v>
      </c>
      <c r="AI4" s="117">
        <v>0.57053649610320845</v>
      </c>
      <c r="AJ4" s="116">
        <v>0</v>
      </c>
      <c r="AK4" s="118">
        <v>0</v>
      </c>
      <c r="AL4" s="115">
        <v>3995609</v>
      </c>
      <c r="AM4" s="116">
        <v>20587</v>
      </c>
      <c r="AN4" s="117">
        <v>0.51524060537454996</v>
      </c>
      <c r="AO4" s="116">
        <v>0</v>
      </c>
      <c r="AP4" s="118">
        <v>0</v>
      </c>
      <c r="AQ4" s="115">
        <v>4119767</v>
      </c>
      <c r="AR4" s="116">
        <v>17525</v>
      </c>
      <c r="AS4" s="117">
        <v>0.42538813481442039</v>
      </c>
      <c r="AT4" s="116">
        <v>0</v>
      </c>
      <c r="AU4" s="118">
        <v>0</v>
      </c>
      <c r="AV4" s="115">
        <v>31436969</v>
      </c>
      <c r="AW4" s="116">
        <v>48354</v>
      </c>
      <c r="AX4" s="117">
        <v>0.15381253835253647</v>
      </c>
      <c r="AY4" s="116">
        <v>0</v>
      </c>
      <c r="AZ4" s="118">
        <v>0</v>
      </c>
      <c r="BA4" s="115">
        <v>4503633</v>
      </c>
      <c r="BB4" s="116">
        <v>15136</v>
      </c>
      <c r="BC4" s="117">
        <v>0.33608422355906886</v>
      </c>
      <c r="BD4" s="116">
        <v>0</v>
      </c>
      <c r="BE4" s="118">
        <v>0</v>
      </c>
      <c r="BF4" s="115">
        <v>4741565</v>
      </c>
      <c r="BG4" s="116">
        <v>14253</v>
      </c>
      <c r="BH4" s="117">
        <v>0.30059695480289739</v>
      </c>
      <c r="BI4" s="116">
        <v>0</v>
      </c>
      <c r="BJ4" s="118">
        <v>0</v>
      </c>
      <c r="BK4" s="115">
        <v>4432950</v>
      </c>
      <c r="BL4" s="116">
        <v>11609</v>
      </c>
      <c r="BM4" s="117">
        <v>0.2618797865980893</v>
      </c>
      <c r="BN4" s="116">
        <v>0</v>
      </c>
      <c r="BO4" s="118">
        <v>0</v>
      </c>
      <c r="BP4" s="115">
        <v>5223481</v>
      </c>
      <c r="BQ4" s="116">
        <v>7169</v>
      </c>
      <c r="BR4" s="117">
        <v>0.13724564136444645</v>
      </c>
      <c r="BS4" s="116">
        <v>0</v>
      </c>
      <c r="BT4" s="118">
        <v>0</v>
      </c>
      <c r="BU4" s="115">
        <v>12535340</v>
      </c>
      <c r="BV4" s="116">
        <v>187</v>
      </c>
      <c r="BW4" s="117">
        <v>1.4917824327062529E-3</v>
      </c>
      <c r="BX4" s="116">
        <v>0</v>
      </c>
      <c r="BY4" s="118">
        <v>0</v>
      </c>
    </row>
    <row r="5" spans="1:77" ht="15.5" x14ac:dyDescent="0.35">
      <c r="A5" s="109">
        <v>52</v>
      </c>
      <c r="B5" s="110">
        <v>44192</v>
      </c>
      <c r="C5" s="115">
        <v>2798871</v>
      </c>
      <c r="D5" s="116">
        <v>545430</v>
      </c>
      <c r="E5" s="117">
        <v>19.487500495735603</v>
      </c>
      <c r="F5" s="116">
        <v>0</v>
      </c>
      <c r="G5" s="118">
        <v>0</v>
      </c>
      <c r="H5" s="115">
        <v>2079085</v>
      </c>
      <c r="I5" s="116">
        <v>12832</v>
      </c>
      <c r="J5" s="117">
        <v>0.6171945831940493</v>
      </c>
      <c r="K5" s="116">
        <v>0</v>
      </c>
      <c r="L5" s="118">
        <v>0</v>
      </c>
      <c r="M5" s="115">
        <v>2872687</v>
      </c>
      <c r="N5" s="116">
        <v>7465</v>
      </c>
      <c r="O5" s="117">
        <v>0.259861237928114</v>
      </c>
      <c r="P5" s="116">
        <v>0</v>
      </c>
      <c r="Q5" s="118">
        <v>0</v>
      </c>
      <c r="R5" s="115">
        <v>2890321</v>
      </c>
      <c r="S5" s="116">
        <v>12577</v>
      </c>
      <c r="T5" s="117">
        <v>0.43514197903969837</v>
      </c>
      <c r="U5" s="116">
        <v>0</v>
      </c>
      <c r="V5" s="118">
        <v>0</v>
      </c>
      <c r="W5" s="115">
        <v>3449617</v>
      </c>
      <c r="X5" s="116">
        <v>30224</v>
      </c>
      <c r="Y5" s="117">
        <v>0.87615523694369557</v>
      </c>
      <c r="Z5" s="116">
        <v>0</v>
      </c>
      <c r="AA5" s="118">
        <v>0</v>
      </c>
      <c r="AB5" s="115">
        <v>4075327</v>
      </c>
      <c r="AC5" s="116">
        <v>41337</v>
      </c>
      <c r="AD5" s="117">
        <v>1.0143235131806601</v>
      </c>
      <c r="AE5" s="116">
        <v>0</v>
      </c>
      <c r="AF5" s="118">
        <v>0</v>
      </c>
      <c r="AG5" s="115">
        <v>4223218</v>
      </c>
      <c r="AH5" s="116">
        <v>40098</v>
      </c>
      <c r="AI5" s="117">
        <v>0.94946554973008734</v>
      </c>
      <c r="AJ5" s="116">
        <v>0</v>
      </c>
      <c r="AK5" s="118">
        <v>0</v>
      </c>
      <c r="AL5" s="115">
        <v>3995609</v>
      </c>
      <c r="AM5" s="116">
        <v>34643</v>
      </c>
      <c r="AN5" s="117">
        <v>0.86702677864625899</v>
      </c>
      <c r="AO5" s="116">
        <v>0</v>
      </c>
      <c r="AP5" s="118">
        <v>0</v>
      </c>
      <c r="AQ5" s="115">
        <v>4119767</v>
      </c>
      <c r="AR5" s="116">
        <v>29444</v>
      </c>
      <c r="AS5" s="117">
        <v>0.71470061292301246</v>
      </c>
      <c r="AT5" s="116">
        <v>0</v>
      </c>
      <c r="AU5" s="118">
        <v>0</v>
      </c>
      <c r="AV5" s="115">
        <v>31436969</v>
      </c>
      <c r="AW5" s="116">
        <v>81890</v>
      </c>
      <c r="AX5" s="117">
        <v>0.26048948930159266</v>
      </c>
      <c r="AY5" s="116">
        <v>0</v>
      </c>
      <c r="AZ5" s="118">
        <v>0</v>
      </c>
      <c r="BA5" s="115">
        <v>4503633</v>
      </c>
      <c r="BB5" s="116">
        <v>25259</v>
      </c>
      <c r="BC5" s="117">
        <v>0.56085831150095933</v>
      </c>
      <c r="BD5" s="116">
        <v>0</v>
      </c>
      <c r="BE5" s="118">
        <v>0</v>
      </c>
      <c r="BF5" s="115">
        <v>4741565</v>
      </c>
      <c r="BG5" s="116">
        <v>24458</v>
      </c>
      <c r="BH5" s="117">
        <v>0.51582125310946914</v>
      </c>
      <c r="BI5" s="116">
        <v>0</v>
      </c>
      <c r="BJ5" s="118">
        <v>0</v>
      </c>
      <c r="BK5" s="115">
        <v>4432950</v>
      </c>
      <c r="BL5" s="116">
        <v>20069</v>
      </c>
      <c r="BM5" s="117">
        <v>0.45272335577888312</v>
      </c>
      <c r="BN5" s="116">
        <v>0</v>
      </c>
      <c r="BO5" s="118">
        <v>0</v>
      </c>
      <c r="BP5" s="115">
        <v>5223481</v>
      </c>
      <c r="BQ5" s="116">
        <v>11782</v>
      </c>
      <c r="BR5" s="117">
        <v>0.22555839678559184</v>
      </c>
      <c r="BS5" s="116">
        <v>0</v>
      </c>
      <c r="BT5" s="118">
        <v>0</v>
      </c>
      <c r="BU5" s="115">
        <v>12535340</v>
      </c>
      <c r="BV5" s="116">
        <v>322</v>
      </c>
      <c r="BW5" s="117">
        <v>2.5687376648738688E-3</v>
      </c>
      <c r="BX5" s="116">
        <v>0</v>
      </c>
      <c r="BY5" s="118">
        <v>0</v>
      </c>
    </row>
    <row r="6" spans="1:77" ht="15.5" x14ac:dyDescent="0.35">
      <c r="A6" s="109">
        <v>53</v>
      </c>
      <c r="B6" s="110">
        <v>44199</v>
      </c>
      <c r="C6" s="115">
        <v>2798871</v>
      </c>
      <c r="D6" s="116">
        <v>672897</v>
      </c>
      <c r="E6" s="117">
        <v>24.041729683147238</v>
      </c>
      <c r="F6" s="116">
        <v>6437</v>
      </c>
      <c r="G6" s="118">
        <v>0.22998559061850299</v>
      </c>
      <c r="H6" s="115">
        <v>2079085</v>
      </c>
      <c r="I6" s="116">
        <v>32766</v>
      </c>
      <c r="J6" s="117">
        <v>1.5759817419682216</v>
      </c>
      <c r="K6" s="116">
        <v>152</v>
      </c>
      <c r="L6" s="118">
        <v>7.3109084044182902E-3</v>
      </c>
      <c r="M6" s="115">
        <v>2872687</v>
      </c>
      <c r="N6" s="116">
        <v>14813</v>
      </c>
      <c r="O6" s="117">
        <v>0.51564963394898222</v>
      </c>
      <c r="P6" s="116">
        <v>269</v>
      </c>
      <c r="Q6" s="118">
        <v>9.3640553252059833E-3</v>
      </c>
      <c r="R6" s="115">
        <v>2890321</v>
      </c>
      <c r="S6" s="116">
        <v>20952</v>
      </c>
      <c r="T6" s="117">
        <v>0.72490218214516655</v>
      </c>
      <c r="U6" s="116">
        <v>571</v>
      </c>
      <c r="V6" s="118">
        <v>1.9755591160981776E-2</v>
      </c>
      <c r="W6" s="115">
        <v>3449617</v>
      </c>
      <c r="X6" s="116">
        <v>48191</v>
      </c>
      <c r="Y6" s="117">
        <v>1.3969956664754377</v>
      </c>
      <c r="Z6" s="116">
        <v>1518</v>
      </c>
      <c r="AA6" s="118">
        <v>4.400488518000694E-2</v>
      </c>
      <c r="AB6" s="115">
        <v>4075327</v>
      </c>
      <c r="AC6" s="116">
        <v>65128</v>
      </c>
      <c r="AD6" s="117">
        <v>1.5981048882703155</v>
      </c>
      <c r="AE6" s="116">
        <v>2102</v>
      </c>
      <c r="AF6" s="118">
        <v>5.1578683133893306E-2</v>
      </c>
      <c r="AG6" s="115">
        <v>4223218</v>
      </c>
      <c r="AH6" s="116">
        <v>64354</v>
      </c>
      <c r="AI6" s="117">
        <v>1.5238143046368906</v>
      </c>
      <c r="AJ6" s="116">
        <v>2213</v>
      </c>
      <c r="AK6" s="118">
        <v>5.240079957984646E-2</v>
      </c>
      <c r="AL6" s="115">
        <v>3995609</v>
      </c>
      <c r="AM6" s="116">
        <v>56247</v>
      </c>
      <c r="AN6" s="117">
        <v>1.4077203249867543</v>
      </c>
      <c r="AO6" s="116">
        <v>1970</v>
      </c>
      <c r="AP6" s="118">
        <v>4.930412360168375E-2</v>
      </c>
      <c r="AQ6" s="115">
        <v>4119767</v>
      </c>
      <c r="AR6" s="116">
        <v>48309</v>
      </c>
      <c r="AS6" s="117">
        <v>1.1726148590442129</v>
      </c>
      <c r="AT6" s="116">
        <v>1552</v>
      </c>
      <c r="AU6" s="118">
        <v>3.7672033394121562E-2</v>
      </c>
      <c r="AV6" s="115">
        <v>31436969</v>
      </c>
      <c r="AW6" s="116">
        <v>138828</v>
      </c>
      <c r="AX6" s="117">
        <v>0.44160745903970577</v>
      </c>
      <c r="AY6" s="116">
        <v>4189</v>
      </c>
      <c r="AZ6" s="118">
        <v>1.3325075963907335E-2</v>
      </c>
      <c r="BA6" s="115">
        <v>4503633</v>
      </c>
      <c r="BB6" s="116">
        <v>42371</v>
      </c>
      <c r="BC6" s="117">
        <v>0.9408182238650441</v>
      </c>
      <c r="BD6" s="116">
        <v>1292</v>
      </c>
      <c r="BE6" s="118">
        <v>2.868795037251037E-2</v>
      </c>
      <c r="BF6" s="115">
        <v>4741565</v>
      </c>
      <c r="BG6" s="116">
        <v>41372</v>
      </c>
      <c r="BH6" s="117">
        <v>0.87253891911214976</v>
      </c>
      <c r="BI6" s="116">
        <v>1283</v>
      </c>
      <c r="BJ6" s="118">
        <v>2.7058576651379871E-2</v>
      </c>
      <c r="BK6" s="115">
        <v>4432950</v>
      </c>
      <c r="BL6" s="116">
        <v>34515</v>
      </c>
      <c r="BM6" s="117">
        <v>0.77860115724291945</v>
      </c>
      <c r="BN6" s="116">
        <v>1037</v>
      </c>
      <c r="BO6" s="118">
        <v>2.339300014662922E-2</v>
      </c>
      <c r="BP6" s="115">
        <v>5223481</v>
      </c>
      <c r="BQ6" s="116">
        <v>20019</v>
      </c>
      <c r="BR6" s="117">
        <v>0.38325017359113589</v>
      </c>
      <c r="BS6" s="116">
        <v>563</v>
      </c>
      <c r="BT6" s="118">
        <v>1.0778253046196588E-2</v>
      </c>
      <c r="BU6" s="115">
        <v>12535340</v>
      </c>
      <c r="BV6" s="116">
        <v>551</v>
      </c>
      <c r="BW6" s="117">
        <v>4.3955728364767129E-3</v>
      </c>
      <c r="BX6" s="116">
        <v>14</v>
      </c>
      <c r="BY6" s="118">
        <v>1.1168424629886386E-4</v>
      </c>
    </row>
    <row r="7" spans="1:77" ht="15.5" x14ac:dyDescent="0.35">
      <c r="A7" s="109">
        <v>1</v>
      </c>
      <c r="B7" s="110">
        <v>44206</v>
      </c>
      <c r="C7" s="115">
        <v>2798871</v>
      </c>
      <c r="D7" s="116">
        <v>1051148</v>
      </c>
      <c r="E7" s="117">
        <v>37.556143173443864</v>
      </c>
      <c r="F7" s="116">
        <v>312968</v>
      </c>
      <c r="G7" s="118">
        <v>11.18193728828517</v>
      </c>
      <c r="H7" s="115">
        <v>2079085</v>
      </c>
      <c r="I7" s="116">
        <v>127681</v>
      </c>
      <c r="J7" s="117">
        <v>6.1412111577929718</v>
      </c>
      <c r="K7" s="116">
        <v>5544</v>
      </c>
      <c r="L7" s="118">
        <v>0.26665576443483552</v>
      </c>
      <c r="M7" s="115">
        <v>2872687</v>
      </c>
      <c r="N7" s="116">
        <v>41397</v>
      </c>
      <c r="O7" s="117">
        <v>1.4410550122585579</v>
      </c>
      <c r="P7" s="116">
        <v>2963</v>
      </c>
      <c r="Q7" s="118">
        <v>0.10314385103563319</v>
      </c>
      <c r="R7" s="115">
        <v>2890321</v>
      </c>
      <c r="S7" s="116">
        <v>42859</v>
      </c>
      <c r="T7" s="117">
        <v>1.4828456770026581</v>
      </c>
      <c r="U7" s="116">
        <v>4280</v>
      </c>
      <c r="V7" s="118">
        <v>0.14808043812434674</v>
      </c>
      <c r="W7" s="115">
        <v>3449617</v>
      </c>
      <c r="X7" s="116">
        <v>94310</v>
      </c>
      <c r="Y7" s="117">
        <v>2.733926693890945</v>
      </c>
      <c r="Z7" s="116">
        <v>10008</v>
      </c>
      <c r="AA7" s="118">
        <v>0.29011916395356352</v>
      </c>
      <c r="AB7" s="115">
        <v>4075327</v>
      </c>
      <c r="AC7" s="116">
        <v>128736</v>
      </c>
      <c r="AD7" s="117">
        <v>3.1589121560061315</v>
      </c>
      <c r="AE7" s="116">
        <v>13376</v>
      </c>
      <c r="AF7" s="118">
        <v>0.32821906070359508</v>
      </c>
      <c r="AG7" s="115">
        <v>4223218</v>
      </c>
      <c r="AH7" s="116">
        <v>127110</v>
      </c>
      <c r="AI7" s="117">
        <v>3.0097901647511449</v>
      </c>
      <c r="AJ7" s="116">
        <v>12797</v>
      </c>
      <c r="AK7" s="118">
        <v>0.30301537832051295</v>
      </c>
      <c r="AL7" s="115">
        <v>3995609</v>
      </c>
      <c r="AM7" s="116">
        <v>110387</v>
      </c>
      <c r="AN7" s="117">
        <v>2.7627077624462251</v>
      </c>
      <c r="AO7" s="116">
        <v>10947</v>
      </c>
      <c r="AP7" s="118">
        <v>0.27397575688712283</v>
      </c>
      <c r="AQ7" s="115">
        <v>4119767</v>
      </c>
      <c r="AR7" s="116">
        <v>96910</v>
      </c>
      <c r="AS7" s="117">
        <v>2.352317497567217</v>
      </c>
      <c r="AT7" s="116">
        <v>9126</v>
      </c>
      <c r="AU7" s="118">
        <v>0.22151738192960915</v>
      </c>
      <c r="AV7" s="115">
        <v>31436969</v>
      </c>
      <c r="AW7" s="116">
        <v>292484</v>
      </c>
      <c r="AX7" s="117">
        <v>0.93038231516530745</v>
      </c>
      <c r="AY7" s="116">
        <v>23548</v>
      </c>
      <c r="AZ7" s="118">
        <v>7.4905440152325115E-2</v>
      </c>
      <c r="BA7" s="115">
        <v>4503633</v>
      </c>
      <c r="BB7" s="116">
        <v>87159</v>
      </c>
      <c r="BC7" s="117">
        <v>1.9353042310507984</v>
      </c>
      <c r="BD7" s="116">
        <v>7698</v>
      </c>
      <c r="BE7" s="118">
        <v>0.17092867025354863</v>
      </c>
      <c r="BF7" s="115">
        <v>4741565</v>
      </c>
      <c r="BG7" s="116">
        <v>85331</v>
      </c>
      <c r="BH7" s="117">
        <v>1.7996378832727169</v>
      </c>
      <c r="BI7" s="116">
        <v>6971</v>
      </c>
      <c r="BJ7" s="118">
        <v>0.14701896947526819</v>
      </c>
      <c r="BK7" s="115">
        <v>4432950</v>
      </c>
      <c r="BL7" s="116">
        <v>72940</v>
      </c>
      <c r="BM7" s="117">
        <v>1.6454054297928016</v>
      </c>
      <c r="BN7" s="116">
        <v>5413</v>
      </c>
      <c r="BO7" s="118">
        <v>0.12210830259759302</v>
      </c>
      <c r="BP7" s="115">
        <v>5223481</v>
      </c>
      <c r="BQ7" s="116">
        <v>45863</v>
      </c>
      <c r="BR7" s="117">
        <v>0.87801602035117965</v>
      </c>
      <c r="BS7" s="116">
        <v>3372</v>
      </c>
      <c r="BT7" s="118">
        <v>6.4554652347735164E-2</v>
      </c>
      <c r="BU7" s="115">
        <v>12535340</v>
      </c>
      <c r="BV7" s="116">
        <v>1191</v>
      </c>
      <c r="BW7" s="117">
        <v>9.5011383815676326E-3</v>
      </c>
      <c r="BX7" s="116">
        <v>94</v>
      </c>
      <c r="BY7" s="118">
        <v>7.4987993943522867E-4</v>
      </c>
    </row>
    <row r="8" spans="1:77" ht="15.5" x14ac:dyDescent="0.35">
      <c r="A8" s="109">
        <v>2</v>
      </c>
      <c r="B8" s="110">
        <v>44213</v>
      </c>
      <c r="C8" s="115">
        <v>2798871</v>
      </c>
      <c r="D8" s="116">
        <v>1694582</v>
      </c>
      <c r="E8" s="117">
        <v>60.545198403213298</v>
      </c>
      <c r="F8" s="116">
        <v>331728</v>
      </c>
      <c r="G8" s="118">
        <v>11.852207550830316</v>
      </c>
      <c r="H8" s="115">
        <v>2079085</v>
      </c>
      <c r="I8" s="116">
        <v>344374</v>
      </c>
      <c r="J8" s="117">
        <v>16.563728755678582</v>
      </c>
      <c r="K8" s="116">
        <v>7081</v>
      </c>
      <c r="L8" s="118">
        <v>0.34058251586635468</v>
      </c>
      <c r="M8" s="115">
        <v>2872687</v>
      </c>
      <c r="N8" s="116">
        <v>106276</v>
      </c>
      <c r="O8" s="117">
        <v>3.6995328763627917</v>
      </c>
      <c r="P8" s="116">
        <v>3667</v>
      </c>
      <c r="Q8" s="118">
        <v>0.12765052370829125</v>
      </c>
      <c r="R8" s="115">
        <v>2890321</v>
      </c>
      <c r="S8" s="116">
        <v>77913</v>
      </c>
      <c r="T8" s="117">
        <v>2.6956521438276231</v>
      </c>
      <c r="U8" s="116">
        <v>5252</v>
      </c>
      <c r="V8" s="118">
        <v>0.18170992080118437</v>
      </c>
      <c r="W8" s="115">
        <v>3449617</v>
      </c>
      <c r="X8" s="116">
        <v>162742</v>
      </c>
      <c r="Y8" s="117">
        <v>4.7176831514918902</v>
      </c>
      <c r="Z8" s="116">
        <v>12114</v>
      </c>
      <c r="AA8" s="118">
        <v>0.35116941967760479</v>
      </c>
      <c r="AB8" s="115">
        <v>4075327</v>
      </c>
      <c r="AC8" s="116">
        <v>222284</v>
      </c>
      <c r="AD8" s="117">
        <v>5.4543843966386003</v>
      </c>
      <c r="AE8" s="116">
        <v>16399</v>
      </c>
      <c r="AF8" s="118">
        <v>0.40239715733240544</v>
      </c>
      <c r="AG8" s="115">
        <v>4223218</v>
      </c>
      <c r="AH8" s="116">
        <v>219777</v>
      </c>
      <c r="AI8" s="117">
        <v>5.2040174104202057</v>
      </c>
      <c r="AJ8" s="116">
        <v>15722</v>
      </c>
      <c r="AK8" s="118">
        <v>0.37227535969016989</v>
      </c>
      <c r="AL8" s="115">
        <v>3995609</v>
      </c>
      <c r="AM8" s="116">
        <v>189237</v>
      </c>
      <c r="AN8" s="117">
        <v>4.7361240802090494</v>
      </c>
      <c r="AO8" s="116">
        <v>13609</v>
      </c>
      <c r="AP8" s="118">
        <v>0.34059889243416963</v>
      </c>
      <c r="AQ8" s="115">
        <v>4119767</v>
      </c>
      <c r="AR8" s="116">
        <v>166626</v>
      </c>
      <c r="AS8" s="117">
        <v>4.0445491213459404</v>
      </c>
      <c r="AT8" s="116">
        <v>11444</v>
      </c>
      <c r="AU8" s="118">
        <v>0.27778269984686027</v>
      </c>
      <c r="AV8" s="115">
        <v>31436969</v>
      </c>
      <c r="AW8" s="116">
        <v>530444</v>
      </c>
      <c r="AX8" s="117">
        <v>1.6873255179276347</v>
      </c>
      <c r="AY8" s="116">
        <v>29361</v>
      </c>
      <c r="AZ8" s="118">
        <v>9.3396408540530745E-2</v>
      </c>
      <c r="BA8" s="115">
        <v>4503633</v>
      </c>
      <c r="BB8" s="116">
        <v>152903</v>
      </c>
      <c r="BC8" s="117">
        <v>3.3951034642476419</v>
      </c>
      <c r="BD8" s="116">
        <v>9621</v>
      </c>
      <c r="BE8" s="118">
        <v>0.21362753137300483</v>
      </c>
      <c r="BF8" s="115">
        <v>4741565</v>
      </c>
      <c r="BG8" s="116">
        <v>150897</v>
      </c>
      <c r="BH8" s="117">
        <v>3.1824302735489232</v>
      </c>
      <c r="BI8" s="116">
        <v>8838</v>
      </c>
      <c r="BJ8" s="118">
        <v>0.18639415467256065</v>
      </c>
      <c r="BK8" s="115">
        <v>4432950</v>
      </c>
      <c r="BL8" s="116">
        <v>130908</v>
      </c>
      <c r="BM8" s="117">
        <v>2.9530673704869219</v>
      </c>
      <c r="BN8" s="116">
        <v>6785</v>
      </c>
      <c r="BO8" s="118">
        <v>0.15305834715031752</v>
      </c>
      <c r="BP8" s="115">
        <v>5223481</v>
      </c>
      <c r="BQ8" s="116">
        <v>93559</v>
      </c>
      <c r="BR8" s="117">
        <v>1.7911235821476139</v>
      </c>
      <c r="BS8" s="116">
        <v>4009</v>
      </c>
      <c r="BT8" s="118">
        <v>7.6749585190412292E-2</v>
      </c>
      <c r="BU8" s="115">
        <v>12535340</v>
      </c>
      <c r="BV8" s="116">
        <v>2177</v>
      </c>
      <c r="BW8" s="117">
        <v>1.7366900299473329E-2</v>
      </c>
      <c r="BX8" s="116">
        <v>108</v>
      </c>
      <c r="BY8" s="118">
        <v>8.615641857340926E-4</v>
      </c>
    </row>
    <row r="9" spans="1:77" ht="15.5" x14ac:dyDescent="0.35">
      <c r="A9" s="109">
        <v>3</v>
      </c>
      <c r="B9" s="110">
        <v>44220</v>
      </c>
      <c r="C9" s="115">
        <v>2798871</v>
      </c>
      <c r="D9" s="116">
        <v>2242585</v>
      </c>
      <c r="E9" s="117">
        <v>80.124628823550637</v>
      </c>
      <c r="F9" s="116">
        <v>333556</v>
      </c>
      <c r="G9" s="118">
        <v>11.917519599867232</v>
      </c>
      <c r="H9" s="115">
        <v>2079085</v>
      </c>
      <c r="I9" s="116">
        <v>975683</v>
      </c>
      <c r="J9" s="117">
        <v>46.928480557552959</v>
      </c>
      <c r="K9" s="116">
        <v>7245</v>
      </c>
      <c r="L9" s="118">
        <v>0.34847060125006912</v>
      </c>
      <c r="M9" s="115">
        <v>2872687</v>
      </c>
      <c r="N9" s="116">
        <v>399443</v>
      </c>
      <c r="O9" s="117">
        <v>13.904856324409865</v>
      </c>
      <c r="P9" s="116">
        <v>3815</v>
      </c>
      <c r="Q9" s="118">
        <v>0.1328024946678841</v>
      </c>
      <c r="R9" s="115">
        <v>2890321</v>
      </c>
      <c r="S9" s="116">
        <v>144572</v>
      </c>
      <c r="T9" s="117">
        <v>5.0019357711479104</v>
      </c>
      <c r="U9" s="116">
        <v>5501</v>
      </c>
      <c r="V9" s="118">
        <v>0.19032488086963351</v>
      </c>
      <c r="W9" s="115">
        <v>3449617</v>
      </c>
      <c r="X9" s="116">
        <v>246729</v>
      </c>
      <c r="Y9" s="117">
        <v>7.1523592329235388</v>
      </c>
      <c r="Z9" s="116">
        <v>12624</v>
      </c>
      <c r="AA9" s="118">
        <v>0.36595366963926718</v>
      </c>
      <c r="AB9" s="115">
        <v>4075327</v>
      </c>
      <c r="AC9" s="116">
        <v>326246</v>
      </c>
      <c r="AD9" s="117">
        <v>8.0053944137488848</v>
      </c>
      <c r="AE9" s="116">
        <v>17171</v>
      </c>
      <c r="AF9" s="118">
        <v>0.42134042249861181</v>
      </c>
      <c r="AG9" s="115">
        <v>4223218</v>
      </c>
      <c r="AH9" s="116">
        <v>319877</v>
      </c>
      <c r="AI9" s="117">
        <v>7.5742478839595782</v>
      </c>
      <c r="AJ9" s="116">
        <v>16444</v>
      </c>
      <c r="AK9" s="118">
        <v>0.3893713277410733</v>
      </c>
      <c r="AL9" s="115">
        <v>3995609</v>
      </c>
      <c r="AM9" s="116">
        <v>273018</v>
      </c>
      <c r="AN9" s="117">
        <v>6.8329508718195404</v>
      </c>
      <c r="AO9" s="116">
        <v>14280</v>
      </c>
      <c r="AP9" s="118">
        <v>0.35739232742743349</v>
      </c>
      <c r="AQ9" s="115">
        <v>4119767</v>
      </c>
      <c r="AR9" s="116">
        <v>241047</v>
      </c>
      <c r="AS9" s="117">
        <v>5.8509862329592908</v>
      </c>
      <c r="AT9" s="116">
        <v>11978</v>
      </c>
      <c r="AU9" s="118">
        <v>0.29074459793478613</v>
      </c>
      <c r="AV9" s="115">
        <v>31436969</v>
      </c>
      <c r="AW9" s="116">
        <v>789137</v>
      </c>
      <c r="AX9" s="117">
        <v>2.5102197352422877</v>
      </c>
      <c r="AY9" s="116">
        <v>30631</v>
      </c>
      <c r="AZ9" s="118">
        <v>9.7436238207315728E-2</v>
      </c>
      <c r="BA9" s="115">
        <v>4503633</v>
      </c>
      <c r="BB9" s="116">
        <v>222792</v>
      </c>
      <c r="BC9" s="117">
        <v>4.9469395041736313</v>
      </c>
      <c r="BD9" s="116">
        <v>10011</v>
      </c>
      <c r="BE9" s="118">
        <v>0.22228720679504746</v>
      </c>
      <c r="BF9" s="115">
        <v>4741565</v>
      </c>
      <c r="BG9" s="116">
        <v>218884</v>
      </c>
      <c r="BH9" s="117">
        <v>4.6162817550745379</v>
      </c>
      <c r="BI9" s="116">
        <v>9255</v>
      </c>
      <c r="BJ9" s="118">
        <v>0.19518871933633727</v>
      </c>
      <c r="BK9" s="115">
        <v>4432950</v>
      </c>
      <c r="BL9" s="116">
        <v>192828</v>
      </c>
      <c r="BM9" s="117">
        <v>4.3498798768314559</v>
      </c>
      <c r="BN9" s="116">
        <v>7086</v>
      </c>
      <c r="BO9" s="118">
        <v>0.15984840794504787</v>
      </c>
      <c r="BP9" s="115">
        <v>5223481</v>
      </c>
      <c r="BQ9" s="116">
        <v>151178</v>
      </c>
      <c r="BR9" s="117">
        <v>2.8942002469234596</v>
      </c>
      <c r="BS9" s="116">
        <v>4162</v>
      </c>
      <c r="BT9" s="118">
        <v>7.9678666391243685E-2</v>
      </c>
      <c r="BU9" s="115">
        <v>12535340</v>
      </c>
      <c r="BV9" s="116">
        <v>3455</v>
      </c>
      <c r="BW9" s="117">
        <v>2.7562076497326757E-2</v>
      </c>
      <c r="BX9" s="116">
        <v>117</v>
      </c>
      <c r="BY9" s="118">
        <v>9.3336120121193368E-4</v>
      </c>
    </row>
    <row r="10" spans="1:77" ht="15.5" x14ac:dyDescent="0.35">
      <c r="A10" s="109">
        <v>4</v>
      </c>
      <c r="B10" s="110">
        <v>44227</v>
      </c>
      <c r="C10" s="115">
        <v>2798871</v>
      </c>
      <c r="D10" s="116">
        <v>2443921</v>
      </c>
      <c r="E10" s="117">
        <v>87.318100762771849</v>
      </c>
      <c r="F10" s="116">
        <v>334377</v>
      </c>
      <c r="G10" s="118">
        <v>11.946852856026592</v>
      </c>
      <c r="H10" s="115">
        <v>2079085</v>
      </c>
      <c r="I10" s="116">
        <v>1606003</v>
      </c>
      <c r="J10" s="117">
        <v>77.245663356717017</v>
      </c>
      <c r="K10" s="116">
        <v>7534</v>
      </c>
      <c r="L10" s="118">
        <v>0.36237094683478549</v>
      </c>
      <c r="M10" s="115">
        <v>2872687</v>
      </c>
      <c r="N10" s="116">
        <v>990892</v>
      </c>
      <c r="O10" s="117">
        <v>34.493559514141289</v>
      </c>
      <c r="P10" s="116">
        <v>4152</v>
      </c>
      <c r="Q10" s="118">
        <v>0.14453367178533547</v>
      </c>
      <c r="R10" s="115">
        <v>2890321</v>
      </c>
      <c r="S10" s="116">
        <v>268903</v>
      </c>
      <c r="T10" s="117">
        <v>9.303568703960563</v>
      </c>
      <c r="U10" s="116">
        <v>5933</v>
      </c>
      <c r="V10" s="118">
        <v>0.20527131761489467</v>
      </c>
      <c r="W10" s="115">
        <v>3449617</v>
      </c>
      <c r="X10" s="116">
        <v>342390</v>
      </c>
      <c r="Y10" s="117">
        <v>9.9254496948501814</v>
      </c>
      <c r="Z10" s="116">
        <v>13522</v>
      </c>
      <c r="AA10" s="118">
        <v>0.39198554506195904</v>
      </c>
      <c r="AB10" s="115">
        <v>4075327</v>
      </c>
      <c r="AC10" s="116">
        <v>428373</v>
      </c>
      <c r="AD10" s="117">
        <v>10.511377369227057</v>
      </c>
      <c r="AE10" s="116">
        <v>18385</v>
      </c>
      <c r="AF10" s="118">
        <v>0.45112944310971859</v>
      </c>
      <c r="AG10" s="115">
        <v>4223218</v>
      </c>
      <c r="AH10" s="116">
        <v>413729</v>
      </c>
      <c r="AI10" s="117">
        <v>9.7965343015681405</v>
      </c>
      <c r="AJ10" s="116">
        <v>17602</v>
      </c>
      <c r="AK10" s="118">
        <v>0.41679117677562466</v>
      </c>
      <c r="AL10" s="115">
        <v>3995609</v>
      </c>
      <c r="AM10" s="116">
        <v>349254</v>
      </c>
      <c r="AN10" s="117">
        <v>8.7409453727829725</v>
      </c>
      <c r="AO10" s="116">
        <v>15361</v>
      </c>
      <c r="AP10" s="118">
        <v>0.38444702672358583</v>
      </c>
      <c r="AQ10" s="115">
        <v>4119767</v>
      </c>
      <c r="AR10" s="116">
        <v>306009</v>
      </c>
      <c r="AS10" s="117">
        <v>7.4278229812511238</v>
      </c>
      <c r="AT10" s="116">
        <v>12873</v>
      </c>
      <c r="AU10" s="118">
        <v>0.31246912750162814</v>
      </c>
      <c r="AV10" s="115">
        <v>31436969</v>
      </c>
      <c r="AW10" s="116">
        <v>1010031</v>
      </c>
      <c r="AX10" s="117">
        <v>3.212876533994101</v>
      </c>
      <c r="AY10" s="116">
        <v>32751</v>
      </c>
      <c r="AZ10" s="118">
        <v>0.10417989087942925</v>
      </c>
      <c r="BA10" s="115">
        <v>4503633</v>
      </c>
      <c r="BB10" s="116">
        <v>283025</v>
      </c>
      <c r="BC10" s="117">
        <v>6.2843708623682257</v>
      </c>
      <c r="BD10" s="116">
        <v>10748</v>
      </c>
      <c r="BE10" s="118">
        <v>0.2386517729131126</v>
      </c>
      <c r="BF10" s="115">
        <v>4741565</v>
      </c>
      <c r="BG10" s="116">
        <v>276403</v>
      </c>
      <c r="BH10" s="117">
        <v>5.8293622464312946</v>
      </c>
      <c r="BI10" s="116">
        <v>9899</v>
      </c>
      <c r="BJ10" s="118">
        <v>0.2087707328698436</v>
      </c>
      <c r="BK10" s="115">
        <v>4432950</v>
      </c>
      <c r="BL10" s="116">
        <v>244307</v>
      </c>
      <c r="BM10" s="117">
        <v>5.5111607394624347</v>
      </c>
      <c r="BN10" s="116">
        <v>7531</v>
      </c>
      <c r="BO10" s="118">
        <v>0.16988686991732369</v>
      </c>
      <c r="BP10" s="115">
        <v>5223481</v>
      </c>
      <c r="BQ10" s="116">
        <v>201271</v>
      </c>
      <c r="BR10" s="117">
        <v>3.8531967475329192</v>
      </c>
      <c r="BS10" s="116">
        <v>4442</v>
      </c>
      <c r="BT10" s="118">
        <v>8.5039076431980901E-2</v>
      </c>
      <c r="BU10" s="115">
        <v>12535340</v>
      </c>
      <c r="BV10" s="116">
        <v>5025</v>
      </c>
      <c r="BW10" s="117">
        <v>4.0086666975127916E-2</v>
      </c>
      <c r="BX10" s="116">
        <v>131</v>
      </c>
      <c r="BY10" s="118">
        <v>1.0450454475107976E-3</v>
      </c>
    </row>
    <row r="11" spans="1:77" ht="15.5" x14ac:dyDescent="0.35">
      <c r="A11" s="109">
        <v>5</v>
      </c>
      <c r="B11" s="110">
        <v>44234</v>
      </c>
      <c r="C11" s="115">
        <v>2798871</v>
      </c>
      <c r="D11" s="116">
        <v>2526934</v>
      </c>
      <c r="E11" s="117">
        <v>90.284046674534125</v>
      </c>
      <c r="F11" s="116">
        <v>335112</v>
      </c>
      <c r="G11" s="118">
        <v>11.973113444671084</v>
      </c>
      <c r="H11" s="115">
        <v>2079085</v>
      </c>
      <c r="I11" s="116">
        <v>1852522</v>
      </c>
      <c r="J11" s="117">
        <v>89.102754336643287</v>
      </c>
      <c r="K11" s="116">
        <v>7750</v>
      </c>
      <c r="L11" s="118">
        <v>0.3727601324621167</v>
      </c>
      <c r="M11" s="115">
        <v>2872687</v>
      </c>
      <c r="N11" s="116">
        <v>2070549</v>
      </c>
      <c r="O11" s="117">
        <v>72.077083232527599</v>
      </c>
      <c r="P11" s="116">
        <v>4472</v>
      </c>
      <c r="Q11" s="118">
        <v>0.15567306845472551</v>
      </c>
      <c r="R11" s="115">
        <v>2890321</v>
      </c>
      <c r="S11" s="116">
        <v>561769</v>
      </c>
      <c r="T11" s="117">
        <v>19.436214870251437</v>
      </c>
      <c r="U11" s="116">
        <v>6383</v>
      </c>
      <c r="V11" s="118">
        <v>0.22084052255787506</v>
      </c>
      <c r="W11" s="115">
        <v>3449617</v>
      </c>
      <c r="X11" s="116">
        <v>482584</v>
      </c>
      <c r="Y11" s="117">
        <v>13.989495065684105</v>
      </c>
      <c r="Z11" s="116">
        <v>14398</v>
      </c>
      <c r="AA11" s="118">
        <v>0.41737966852552039</v>
      </c>
      <c r="AB11" s="115">
        <v>4075327</v>
      </c>
      <c r="AC11" s="116">
        <v>552171</v>
      </c>
      <c r="AD11" s="117">
        <v>13.549121334312558</v>
      </c>
      <c r="AE11" s="116">
        <v>19749</v>
      </c>
      <c r="AF11" s="118">
        <v>0.48459914995778253</v>
      </c>
      <c r="AG11" s="115">
        <v>4223218</v>
      </c>
      <c r="AH11" s="116">
        <v>515930</v>
      </c>
      <c r="AI11" s="117">
        <v>12.216513568563119</v>
      </c>
      <c r="AJ11" s="116">
        <v>18937</v>
      </c>
      <c r="AK11" s="118">
        <v>0.44840214263151934</v>
      </c>
      <c r="AL11" s="115">
        <v>3995609</v>
      </c>
      <c r="AM11" s="116">
        <v>427314</v>
      </c>
      <c r="AN11" s="117">
        <v>10.694589986157304</v>
      </c>
      <c r="AO11" s="116">
        <v>16508</v>
      </c>
      <c r="AP11" s="118">
        <v>0.41315353929776411</v>
      </c>
      <c r="AQ11" s="115">
        <v>4119767</v>
      </c>
      <c r="AR11" s="116">
        <v>369056</v>
      </c>
      <c r="AS11" s="117">
        <v>8.9581765182351329</v>
      </c>
      <c r="AT11" s="116">
        <v>13849</v>
      </c>
      <c r="AU11" s="118">
        <v>0.3361597876773128</v>
      </c>
      <c r="AV11" s="115">
        <v>31436969</v>
      </c>
      <c r="AW11" s="116">
        <v>1205501</v>
      </c>
      <c r="AX11" s="117">
        <v>3.8346603961724171</v>
      </c>
      <c r="AY11" s="116">
        <v>35165</v>
      </c>
      <c r="AZ11" s="118">
        <v>0.11185874821456228</v>
      </c>
      <c r="BA11" s="115">
        <v>4503633</v>
      </c>
      <c r="BB11" s="116">
        <v>339477</v>
      </c>
      <c r="BC11" s="117">
        <v>7.5378477775609163</v>
      </c>
      <c r="BD11" s="116">
        <v>11622</v>
      </c>
      <c r="BE11" s="118">
        <v>0.25805832757686958</v>
      </c>
      <c r="BF11" s="115">
        <v>4741565</v>
      </c>
      <c r="BG11" s="116">
        <v>327213</v>
      </c>
      <c r="BH11" s="117">
        <v>6.9009493700919426</v>
      </c>
      <c r="BI11" s="116">
        <v>10623</v>
      </c>
      <c r="BJ11" s="118">
        <v>0.22403995305347496</v>
      </c>
      <c r="BK11" s="115">
        <v>4432950</v>
      </c>
      <c r="BL11" s="116">
        <v>288038</v>
      </c>
      <c r="BM11" s="117">
        <v>6.4976595720682608</v>
      </c>
      <c r="BN11" s="116">
        <v>8057</v>
      </c>
      <c r="BO11" s="118">
        <v>0.18175255755196879</v>
      </c>
      <c r="BP11" s="115">
        <v>5223481</v>
      </c>
      <c r="BQ11" s="116">
        <v>244074</v>
      </c>
      <c r="BR11" s="117">
        <v>4.6726311438674708</v>
      </c>
      <c r="BS11" s="116">
        <v>4730</v>
      </c>
      <c r="BT11" s="118">
        <v>9.0552641045310592E-2</v>
      </c>
      <c r="BU11" s="115">
        <v>12535340</v>
      </c>
      <c r="BV11" s="116">
        <v>6699</v>
      </c>
      <c r="BW11" s="117">
        <v>5.3440911854006352E-2</v>
      </c>
      <c r="BX11" s="116">
        <v>133</v>
      </c>
      <c r="BY11" s="118">
        <v>1.0610003398392066E-3</v>
      </c>
    </row>
    <row r="12" spans="1:77" ht="15.5" x14ac:dyDescent="0.35">
      <c r="A12" s="109">
        <v>6</v>
      </c>
      <c r="B12" s="110">
        <v>44241</v>
      </c>
      <c r="C12" s="115">
        <v>2798871</v>
      </c>
      <c r="D12" s="116">
        <v>2583286</v>
      </c>
      <c r="E12" s="117">
        <v>92.297429927995964</v>
      </c>
      <c r="F12" s="116">
        <v>337724</v>
      </c>
      <c r="G12" s="118">
        <v>12.066436788262125</v>
      </c>
      <c r="H12" s="115">
        <v>2079085</v>
      </c>
      <c r="I12" s="116">
        <v>1921265</v>
      </c>
      <c r="J12" s="117">
        <v>92.409160760623067</v>
      </c>
      <c r="K12" s="116">
        <v>8473</v>
      </c>
      <c r="L12" s="118">
        <v>0.40753504546471159</v>
      </c>
      <c r="M12" s="115">
        <v>2872687</v>
      </c>
      <c r="N12" s="116">
        <v>2569858</v>
      </c>
      <c r="O12" s="117">
        <v>89.45833639376653</v>
      </c>
      <c r="P12" s="116">
        <v>5053</v>
      </c>
      <c r="Q12" s="118">
        <v>0.17589803553258673</v>
      </c>
      <c r="R12" s="115">
        <v>2890321</v>
      </c>
      <c r="S12" s="116">
        <v>1470670</v>
      </c>
      <c r="T12" s="117">
        <v>50.882583629984346</v>
      </c>
      <c r="U12" s="116">
        <v>7249</v>
      </c>
      <c r="V12" s="118">
        <v>0.25080259251481063</v>
      </c>
      <c r="W12" s="115">
        <v>3449617</v>
      </c>
      <c r="X12" s="116">
        <v>678594</v>
      </c>
      <c r="Y12" s="117">
        <v>19.671575134283025</v>
      </c>
      <c r="Z12" s="116">
        <v>16129</v>
      </c>
      <c r="AA12" s="118">
        <v>0.46755915221892752</v>
      </c>
      <c r="AB12" s="115">
        <v>4075327</v>
      </c>
      <c r="AC12" s="116">
        <v>689630</v>
      </c>
      <c r="AD12" s="117">
        <v>16.922077663951875</v>
      </c>
      <c r="AE12" s="116">
        <v>22104</v>
      </c>
      <c r="AF12" s="118">
        <v>0.54238592387801032</v>
      </c>
      <c r="AG12" s="115">
        <v>4223218</v>
      </c>
      <c r="AH12" s="116">
        <v>624173</v>
      </c>
      <c r="AI12" s="117">
        <v>14.779559094510395</v>
      </c>
      <c r="AJ12" s="116">
        <v>21136</v>
      </c>
      <c r="AK12" s="118">
        <v>0.50047144144583589</v>
      </c>
      <c r="AL12" s="115">
        <v>3995609</v>
      </c>
      <c r="AM12" s="116">
        <v>507095</v>
      </c>
      <c r="AN12" s="117">
        <v>12.691306882129858</v>
      </c>
      <c r="AO12" s="116">
        <v>18374</v>
      </c>
      <c r="AP12" s="118">
        <v>0.45985480561286146</v>
      </c>
      <c r="AQ12" s="115">
        <v>4119767</v>
      </c>
      <c r="AR12" s="116">
        <v>433208</v>
      </c>
      <c r="AS12" s="117">
        <v>10.515351960438538</v>
      </c>
      <c r="AT12" s="116">
        <v>15459</v>
      </c>
      <c r="AU12" s="118">
        <v>0.37523966768023531</v>
      </c>
      <c r="AV12" s="115">
        <v>31436969</v>
      </c>
      <c r="AW12" s="116">
        <v>1398011</v>
      </c>
      <c r="AX12" s="117">
        <v>4.4470285923557071</v>
      </c>
      <c r="AY12" s="116">
        <v>39570</v>
      </c>
      <c r="AZ12" s="118">
        <v>0.12587091331864722</v>
      </c>
      <c r="BA12" s="115">
        <v>4503633</v>
      </c>
      <c r="BB12" s="116">
        <v>395219</v>
      </c>
      <c r="BC12" s="117">
        <v>8.7755596426262983</v>
      </c>
      <c r="BD12" s="116">
        <v>13073</v>
      </c>
      <c r="BE12" s="118">
        <v>0.29027676100605887</v>
      </c>
      <c r="BF12" s="115">
        <v>4741565</v>
      </c>
      <c r="BG12" s="116">
        <v>376561</v>
      </c>
      <c r="BH12" s="117">
        <v>7.9417027922215553</v>
      </c>
      <c r="BI12" s="116">
        <v>11895</v>
      </c>
      <c r="BJ12" s="118">
        <v>0.25086653879046267</v>
      </c>
      <c r="BK12" s="115">
        <v>4432950</v>
      </c>
      <c r="BL12" s="116">
        <v>330264</v>
      </c>
      <c r="BM12" s="117">
        <v>7.4502081007004364</v>
      </c>
      <c r="BN12" s="116">
        <v>9064</v>
      </c>
      <c r="BO12" s="118">
        <v>0.20446880745327603</v>
      </c>
      <c r="BP12" s="115">
        <v>5223481</v>
      </c>
      <c r="BQ12" s="116">
        <v>286869</v>
      </c>
      <c r="BR12" s="117">
        <v>5.4919123856294298</v>
      </c>
      <c r="BS12" s="116">
        <v>5388</v>
      </c>
      <c r="BT12" s="118">
        <v>0.10314960464104302</v>
      </c>
      <c r="BU12" s="115">
        <v>12535340</v>
      </c>
      <c r="BV12" s="116">
        <v>9098</v>
      </c>
      <c r="BW12" s="117">
        <v>7.2578805201933091E-2</v>
      </c>
      <c r="BX12" s="116">
        <v>150</v>
      </c>
      <c r="BY12" s="118">
        <v>1.196616924630684E-3</v>
      </c>
    </row>
    <row r="13" spans="1:77" ht="15.5" x14ac:dyDescent="0.35">
      <c r="A13" s="109">
        <v>7</v>
      </c>
      <c r="B13" s="110">
        <v>44248</v>
      </c>
      <c r="C13" s="115">
        <v>2798871</v>
      </c>
      <c r="D13" s="116">
        <v>2604005</v>
      </c>
      <c r="E13" s="117">
        <v>93.037692698234395</v>
      </c>
      <c r="F13" s="116">
        <v>339521</v>
      </c>
      <c r="G13" s="118">
        <v>12.130641247846006</v>
      </c>
      <c r="H13" s="115">
        <v>2079085</v>
      </c>
      <c r="I13" s="116">
        <v>1937869</v>
      </c>
      <c r="J13" s="117">
        <v>93.207781307642549</v>
      </c>
      <c r="K13" s="116">
        <v>9187</v>
      </c>
      <c r="L13" s="118">
        <v>0.44187707573283441</v>
      </c>
      <c r="M13" s="115">
        <v>2872687</v>
      </c>
      <c r="N13" s="116">
        <v>2623566</v>
      </c>
      <c r="O13" s="117">
        <v>91.327944882265271</v>
      </c>
      <c r="P13" s="116">
        <v>6022</v>
      </c>
      <c r="Q13" s="118">
        <v>0.20962952107208338</v>
      </c>
      <c r="R13" s="115">
        <v>2890321</v>
      </c>
      <c r="S13" s="116">
        <v>2115133</v>
      </c>
      <c r="T13" s="117">
        <v>73.17986479702428</v>
      </c>
      <c r="U13" s="116">
        <v>8504</v>
      </c>
      <c r="V13" s="118">
        <v>0.29422337518912256</v>
      </c>
      <c r="W13" s="115">
        <v>3449617</v>
      </c>
      <c r="X13" s="116">
        <v>1046731</v>
      </c>
      <c r="Y13" s="117">
        <v>30.343397542393834</v>
      </c>
      <c r="Z13" s="116">
        <v>18534</v>
      </c>
      <c r="AA13" s="118">
        <v>0.53727703684206096</v>
      </c>
      <c r="AB13" s="115">
        <v>4075327</v>
      </c>
      <c r="AC13" s="116">
        <v>953118</v>
      </c>
      <c r="AD13" s="117">
        <v>23.387522031974367</v>
      </c>
      <c r="AE13" s="116">
        <v>25352</v>
      </c>
      <c r="AF13" s="118">
        <v>0.62208504986225643</v>
      </c>
      <c r="AG13" s="115">
        <v>4223218</v>
      </c>
      <c r="AH13" s="116">
        <v>815889</v>
      </c>
      <c r="AI13" s="117">
        <v>19.319130577677971</v>
      </c>
      <c r="AJ13" s="116">
        <v>23997</v>
      </c>
      <c r="AK13" s="118">
        <v>0.56821599074449858</v>
      </c>
      <c r="AL13" s="115">
        <v>3995609</v>
      </c>
      <c r="AM13" s="116">
        <v>636654</v>
      </c>
      <c r="AN13" s="117">
        <v>15.933841374368713</v>
      </c>
      <c r="AO13" s="116">
        <v>20714</v>
      </c>
      <c r="AP13" s="118">
        <v>0.51841909456105439</v>
      </c>
      <c r="AQ13" s="115">
        <v>4119767</v>
      </c>
      <c r="AR13" s="116">
        <v>532705</v>
      </c>
      <c r="AS13" s="117">
        <v>12.930464271401757</v>
      </c>
      <c r="AT13" s="116">
        <v>17517</v>
      </c>
      <c r="AU13" s="118">
        <v>0.42519394907527541</v>
      </c>
      <c r="AV13" s="115">
        <v>31436969</v>
      </c>
      <c r="AW13" s="116">
        <v>1670770</v>
      </c>
      <c r="AX13" s="117">
        <v>5.314666308956185</v>
      </c>
      <c r="AY13" s="116">
        <v>45630</v>
      </c>
      <c r="AZ13" s="118">
        <v>0.14514758086251889</v>
      </c>
      <c r="BA13" s="115">
        <v>4503633</v>
      </c>
      <c r="BB13" s="116">
        <v>478212</v>
      </c>
      <c r="BC13" s="117">
        <v>10.618360776732917</v>
      </c>
      <c r="BD13" s="116">
        <v>14854</v>
      </c>
      <c r="BE13" s="118">
        <v>0.32982261210005342</v>
      </c>
      <c r="BF13" s="115">
        <v>4741565</v>
      </c>
      <c r="BG13" s="116">
        <v>446638</v>
      </c>
      <c r="BH13" s="117">
        <v>9.4196325474816867</v>
      </c>
      <c r="BI13" s="116">
        <v>13716</v>
      </c>
      <c r="BJ13" s="118">
        <v>0.28927158016393323</v>
      </c>
      <c r="BK13" s="115">
        <v>4432950</v>
      </c>
      <c r="BL13" s="116">
        <v>387858</v>
      </c>
      <c r="BM13" s="117">
        <v>8.749433221669543</v>
      </c>
      <c r="BN13" s="116">
        <v>10536</v>
      </c>
      <c r="BO13" s="118">
        <v>0.23767468615707374</v>
      </c>
      <c r="BP13" s="115">
        <v>5223481</v>
      </c>
      <c r="BQ13" s="116">
        <v>343140</v>
      </c>
      <c r="BR13" s="117">
        <v>6.5691825049234405</v>
      </c>
      <c r="BS13" s="116">
        <v>6339</v>
      </c>
      <c r="BT13" s="118">
        <v>0.12135585445797543</v>
      </c>
      <c r="BU13" s="115">
        <v>12535340</v>
      </c>
      <c r="BV13" s="116">
        <v>14922</v>
      </c>
      <c r="BW13" s="117">
        <v>0.11903945166226045</v>
      </c>
      <c r="BX13" s="116">
        <v>185</v>
      </c>
      <c r="BY13" s="118">
        <v>1.4758275403778439E-3</v>
      </c>
    </row>
    <row r="14" spans="1:77" ht="15.5" x14ac:dyDescent="0.35">
      <c r="A14" s="109">
        <v>8</v>
      </c>
      <c r="B14" s="110">
        <v>44255</v>
      </c>
      <c r="C14" s="115">
        <v>2798871</v>
      </c>
      <c r="D14" s="116">
        <v>2617987</v>
      </c>
      <c r="E14" s="117">
        <v>93.537251270244326</v>
      </c>
      <c r="F14" s="116">
        <v>355776</v>
      </c>
      <c r="G14" s="118">
        <v>12.711411136847678</v>
      </c>
      <c r="H14" s="115">
        <v>2079085</v>
      </c>
      <c r="I14" s="116">
        <v>1948755</v>
      </c>
      <c r="J14" s="117">
        <v>93.731377024027395</v>
      </c>
      <c r="K14" s="116">
        <v>11096</v>
      </c>
      <c r="L14" s="118">
        <v>0.53369631352253522</v>
      </c>
      <c r="M14" s="115">
        <v>2872687</v>
      </c>
      <c r="N14" s="116">
        <v>2649101</v>
      </c>
      <c r="O14" s="117">
        <v>92.216833925868016</v>
      </c>
      <c r="P14" s="116">
        <v>8500</v>
      </c>
      <c r="Q14" s="118">
        <v>0.29589022403067233</v>
      </c>
      <c r="R14" s="115">
        <v>2890321</v>
      </c>
      <c r="S14" s="116">
        <v>2394869</v>
      </c>
      <c r="T14" s="117">
        <v>82.858236161312178</v>
      </c>
      <c r="U14" s="116">
        <v>12463</v>
      </c>
      <c r="V14" s="118">
        <v>0.43119778045414331</v>
      </c>
      <c r="W14" s="115">
        <v>3449617</v>
      </c>
      <c r="X14" s="116">
        <v>1575446</v>
      </c>
      <c r="Y14" s="117">
        <v>45.670171500198428</v>
      </c>
      <c r="Z14" s="116">
        <v>26217</v>
      </c>
      <c r="AA14" s="118">
        <v>0.75999741420569289</v>
      </c>
      <c r="AB14" s="115">
        <v>4075327</v>
      </c>
      <c r="AC14" s="116">
        <v>1303461</v>
      </c>
      <c r="AD14" s="117">
        <v>31.984206420736299</v>
      </c>
      <c r="AE14" s="116">
        <v>35189</v>
      </c>
      <c r="AF14" s="118">
        <v>0.86346445328190846</v>
      </c>
      <c r="AG14" s="115">
        <v>4223218</v>
      </c>
      <c r="AH14" s="116">
        <v>1091808</v>
      </c>
      <c r="AI14" s="117">
        <v>25.852513415125621</v>
      </c>
      <c r="AJ14" s="116">
        <v>33360</v>
      </c>
      <c r="AK14" s="118">
        <v>0.78991896700572883</v>
      </c>
      <c r="AL14" s="115">
        <v>3995609</v>
      </c>
      <c r="AM14" s="116">
        <v>830497</v>
      </c>
      <c r="AN14" s="117">
        <v>20.785241999404846</v>
      </c>
      <c r="AO14" s="116">
        <v>28829</v>
      </c>
      <c r="AP14" s="118">
        <v>0.72151704533651817</v>
      </c>
      <c r="AQ14" s="115">
        <v>4119767</v>
      </c>
      <c r="AR14" s="116">
        <v>688767</v>
      </c>
      <c r="AS14" s="117">
        <v>16.718591124206782</v>
      </c>
      <c r="AT14" s="116">
        <v>24871</v>
      </c>
      <c r="AU14" s="118">
        <v>0.60369918978427661</v>
      </c>
      <c r="AV14" s="115">
        <v>31436969</v>
      </c>
      <c r="AW14" s="116">
        <v>2091874</v>
      </c>
      <c r="AX14" s="117">
        <v>6.6541847593513221</v>
      </c>
      <c r="AY14" s="116">
        <v>67151</v>
      </c>
      <c r="AZ14" s="118">
        <v>0.21360519838919587</v>
      </c>
      <c r="BA14" s="115">
        <v>4503633</v>
      </c>
      <c r="BB14" s="116">
        <v>613477</v>
      </c>
      <c r="BC14" s="117">
        <v>13.621824868944692</v>
      </c>
      <c r="BD14" s="116">
        <v>21303</v>
      </c>
      <c r="BE14" s="118">
        <v>0.4730181167071118</v>
      </c>
      <c r="BF14" s="115">
        <v>4741565</v>
      </c>
      <c r="BG14" s="116">
        <v>557096</v>
      </c>
      <c r="BH14" s="117">
        <v>11.749200949475542</v>
      </c>
      <c r="BI14" s="116">
        <v>20026</v>
      </c>
      <c r="BJ14" s="118">
        <v>0.42235000469254347</v>
      </c>
      <c r="BK14" s="115">
        <v>4432950</v>
      </c>
      <c r="BL14" s="116">
        <v>470584</v>
      </c>
      <c r="BM14" s="117">
        <v>10.61559458148637</v>
      </c>
      <c r="BN14" s="116">
        <v>15929</v>
      </c>
      <c r="BO14" s="118">
        <v>0.35933182192445212</v>
      </c>
      <c r="BP14" s="115">
        <v>5223481</v>
      </c>
      <c r="BQ14" s="116">
        <v>423016</v>
      </c>
      <c r="BR14" s="117">
        <v>8.0983543349731715</v>
      </c>
      <c r="BS14" s="116">
        <v>9601</v>
      </c>
      <c r="BT14" s="118">
        <v>0.18380463143256384</v>
      </c>
      <c r="BU14" s="115">
        <v>12535340</v>
      </c>
      <c r="BV14" s="116">
        <v>27701</v>
      </c>
      <c r="BW14" s="117">
        <v>0.22098323619463056</v>
      </c>
      <c r="BX14" s="116">
        <v>292</v>
      </c>
      <c r="BY14" s="118">
        <v>2.3294142799477318E-3</v>
      </c>
    </row>
    <row r="15" spans="1:77" ht="15.5" x14ac:dyDescent="0.35">
      <c r="A15" s="109">
        <v>9</v>
      </c>
      <c r="B15" s="110">
        <v>44262</v>
      </c>
      <c r="C15" s="115">
        <v>2798871</v>
      </c>
      <c r="D15" s="116">
        <v>2627984</v>
      </c>
      <c r="E15" s="117">
        <v>93.894431004501456</v>
      </c>
      <c r="F15" s="116">
        <v>442104</v>
      </c>
      <c r="G15" s="118">
        <v>15.795797662700425</v>
      </c>
      <c r="H15" s="115">
        <v>2079085</v>
      </c>
      <c r="I15" s="116">
        <v>1955843</v>
      </c>
      <c r="J15" s="117">
        <v>94.072296226464999</v>
      </c>
      <c r="K15" s="116">
        <v>18771</v>
      </c>
      <c r="L15" s="118">
        <v>0.90284908986405077</v>
      </c>
      <c r="M15" s="115">
        <v>2872687</v>
      </c>
      <c r="N15" s="116">
        <v>2663339</v>
      </c>
      <c r="O15" s="117">
        <v>92.71246745642668</v>
      </c>
      <c r="P15" s="116">
        <v>14490</v>
      </c>
      <c r="Q15" s="118">
        <v>0.5044058054358167</v>
      </c>
      <c r="R15" s="115">
        <v>2890321</v>
      </c>
      <c r="S15" s="116">
        <v>2498897</v>
      </c>
      <c r="T15" s="117">
        <v>86.457421165330771</v>
      </c>
      <c r="U15" s="116">
        <v>17976</v>
      </c>
      <c r="V15" s="118">
        <v>0.62193784012225628</v>
      </c>
      <c r="W15" s="115">
        <v>3449617</v>
      </c>
      <c r="X15" s="116">
        <v>2170718</v>
      </c>
      <c r="Y15" s="117">
        <v>62.926348055450795</v>
      </c>
      <c r="Z15" s="116">
        <v>37209</v>
      </c>
      <c r="AA15" s="118">
        <v>1.0786414839676404</v>
      </c>
      <c r="AB15" s="115">
        <v>4075327</v>
      </c>
      <c r="AC15" s="116">
        <v>1554686</v>
      </c>
      <c r="AD15" s="117">
        <v>38.14874241993342</v>
      </c>
      <c r="AE15" s="116">
        <v>49533</v>
      </c>
      <c r="AF15" s="118">
        <v>1.2154362091680007</v>
      </c>
      <c r="AG15" s="115">
        <v>4223218</v>
      </c>
      <c r="AH15" s="116">
        <v>1295019</v>
      </c>
      <c r="AI15" s="117">
        <v>30.664270705419423</v>
      </c>
      <c r="AJ15" s="116">
        <v>47605</v>
      </c>
      <c r="AK15" s="118">
        <v>1.1272209959324855</v>
      </c>
      <c r="AL15" s="115">
        <v>3995609</v>
      </c>
      <c r="AM15" s="116">
        <v>977988</v>
      </c>
      <c r="AN15" s="117">
        <v>24.476569153788571</v>
      </c>
      <c r="AO15" s="116">
        <v>40844</v>
      </c>
      <c r="AP15" s="118">
        <v>1.0222221443589701</v>
      </c>
      <c r="AQ15" s="115">
        <v>4119767</v>
      </c>
      <c r="AR15" s="116">
        <v>810048</v>
      </c>
      <c r="AS15" s="117">
        <v>19.662471202861713</v>
      </c>
      <c r="AT15" s="116">
        <v>35463</v>
      </c>
      <c r="AU15" s="118">
        <v>0.86080110841219915</v>
      </c>
      <c r="AV15" s="115">
        <v>31436969</v>
      </c>
      <c r="AW15" s="116">
        <v>2426383</v>
      </c>
      <c r="AX15" s="117">
        <v>7.7182472648683147</v>
      </c>
      <c r="AY15" s="116">
        <v>99604</v>
      </c>
      <c r="AZ15" s="118">
        <v>0.31683716073263934</v>
      </c>
      <c r="BA15" s="115">
        <v>4503633</v>
      </c>
      <c r="BB15" s="116">
        <v>721176</v>
      </c>
      <c r="BC15" s="117">
        <v>16.013205338889737</v>
      </c>
      <c r="BD15" s="116">
        <v>30868</v>
      </c>
      <c r="BE15" s="118">
        <v>0.68540220750669512</v>
      </c>
      <c r="BF15" s="115">
        <v>4741565</v>
      </c>
      <c r="BG15" s="116">
        <v>646736</v>
      </c>
      <c r="BH15" s="117">
        <v>13.639716000940618</v>
      </c>
      <c r="BI15" s="116">
        <v>29432</v>
      </c>
      <c r="BJ15" s="118">
        <v>0.62072332658099172</v>
      </c>
      <c r="BK15" s="115">
        <v>4432950</v>
      </c>
      <c r="BL15" s="116">
        <v>537832</v>
      </c>
      <c r="BM15" s="117">
        <v>12.132597931400085</v>
      </c>
      <c r="BN15" s="116">
        <v>24116</v>
      </c>
      <c r="BO15" s="118">
        <v>0.54401696387281606</v>
      </c>
      <c r="BP15" s="115">
        <v>5223481</v>
      </c>
      <c r="BQ15" s="116">
        <v>488709</v>
      </c>
      <c r="BR15" s="117">
        <v>9.3560022521379906</v>
      </c>
      <c r="BS15" s="116">
        <v>14728</v>
      </c>
      <c r="BT15" s="118">
        <v>0.28195756814277684</v>
      </c>
      <c r="BU15" s="115">
        <v>12535340</v>
      </c>
      <c r="BV15" s="116">
        <v>31930</v>
      </c>
      <c r="BW15" s="117">
        <v>0.25471985602305164</v>
      </c>
      <c r="BX15" s="116">
        <v>460</v>
      </c>
      <c r="BY15" s="118">
        <v>3.669625235534098E-3</v>
      </c>
    </row>
    <row r="16" spans="1:77" ht="15.5" x14ac:dyDescent="0.35">
      <c r="A16" s="109">
        <v>10</v>
      </c>
      <c r="B16" s="110">
        <v>44269</v>
      </c>
      <c r="C16" s="115">
        <v>2798871</v>
      </c>
      <c r="D16" s="116">
        <v>2634265</v>
      </c>
      <c r="E16" s="117">
        <v>94.118842919162759</v>
      </c>
      <c r="F16" s="116">
        <v>573075</v>
      </c>
      <c r="G16" s="118">
        <v>20.475220186996829</v>
      </c>
      <c r="H16" s="115">
        <v>2079085</v>
      </c>
      <c r="I16" s="116">
        <v>1960304</v>
      </c>
      <c r="J16" s="117">
        <v>94.286861768518364</v>
      </c>
      <c r="K16" s="116">
        <v>30915</v>
      </c>
      <c r="L16" s="118">
        <v>1.4869521929117857</v>
      </c>
      <c r="M16" s="115">
        <v>2872687</v>
      </c>
      <c r="N16" s="116">
        <v>2671817</v>
      </c>
      <c r="O16" s="117">
        <v>93.007591846936336</v>
      </c>
      <c r="P16" s="116">
        <v>22461</v>
      </c>
      <c r="Q16" s="118">
        <v>0.78188121434740365</v>
      </c>
      <c r="R16" s="115">
        <v>2890321</v>
      </c>
      <c r="S16" s="116">
        <v>2553350</v>
      </c>
      <c r="T16" s="117">
        <v>88.341398758131021</v>
      </c>
      <c r="U16" s="116">
        <v>26439</v>
      </c>
      <c r="V16" s="118">
        <v>0.91474268774990741</v>
      </c>
      <c r="W16" s="115">
        <v>3449617</v>
      </c>
      <c r="X16" s="116">
        <v>2614539</v>
      </c>
      <c r="Y16" s="117">
        <v>75.792153157872306</v>
      </c>
      <c r="Z16" s="116">
        <v>54553</v>
      </c>
      <c r="AA16" s="118">
        <v>1.5814219375658225</v>
      </c>
      <c r="AB16" s="115">
        <v>4075327</v>
      </c>
      <c r="AC16" s="116">
        <v>2009270</v>
      </c>
      <c r="AD16" s="117">
        <v>49.303282902206377</v>
      </c>
      <c r="AE16" s="116">
        <v>73018</v>
      </c>
      <c r="AF16" s="118">
        <v>1.7917089843342633</v>
      </c>
      <c r="AG16" s="115">
        <v>4223218</v>
      </c>
      <c r="AH16" s="116">
        <v>1532572</v>
      </c>
      <c r="AI16" s="117">
        <v>36.289199373558269</v>
      </c>
      <c r="AJ16" s="116">
        <v>70747</v>
      </c>
      <c r="AK16" s="118">
        <v>1.6751917613535461</v>
      </c>
      <c r="AL16" s="115">
        <v>3995609</v>
      </c>
      <c r="AM16" s="116">
        <v>1089848</v>
      </c>
      <c r="AN16" s="117">
        <v>27.276142385303466</v>
      </c>
      <c r="AO16" s="116">
        <v>61345</v>
      </c>
      <c r="AP16" s="118">
        <v>1.5353103869773044</v>
      </c>
      <c r="AQ16" s="115">
        <v>4119767</v>
      </c>
      <c r="AR16" s="116">
        <v>904056</v>
      </c>
      <c r="AS16" s="117">
        <v>21.9443478235541</v>
      </c>
      <c r="AT16" s="116">
        <v>53563</v>
      </c>
      <c r="AU16" s="118">
        <v>1.300146343227663</v>
      </c>
      <c r="AV16" s="115">
        <v>31436969</v>
      </c>
      <c r="AW16" s="116">
        <v>2707127</v>
      </c>
      <c r="AX16" s="117">
        <v>8.6112850128776728</v>
      </c>
      <c r="AY16" s="116">
        <v>155379</v>
      </c>
      <c r="AZ16" s="118">
        <v>0.4942556644058147</v>
      </c>
      <c r="BA16" s="115">
        <v>4503633</v>
      </c>
      <c r="BB16" s="116">
        <v>805819</v>
      </c>
      <c r="BC16" s="117">
        <v>17.89264356132038</v>
      </c>
      <c r="BD16" s="116">
        <v>46951</v>
      </c>
      <c r="BE16" s="118">
        <v>1.0425138993341596</v>
      </c>
      <c r="BF16" s="115">
        <v>4741565</v>
      </c>
      <c r="BG16" s="116">
        <v>719949</v>
      </c>
      <c r="BH16" s="117">
        <v>15.18378425688565</v>
      </c>
      <c r="BI16" s="116">
        <v>45578</v>
      </c>
      <c r="BJ16" s="118">
        <v>0.96124380874247217</v>
      </c>
      <c r="BK16" s="115">
        <v>4432950</v>
      </c>
      <c r="BL16" s="116">
        <v>597067</v>
      </c>
      <c r="BM16" s="117">
        <v>13.468841290788303</v>
      </c>
      <c r="BN16" s="116">
        <v>38514</v>
      </c>
      <c r="BO16" s="118">
        <v>0.86881196494433732</v>
      </c>
      <c r="BP16" s="115">
        <v>5223481</v>
      </c>
      <c r="BQ16" s="116">
        <v>547923</v>
      </c>
      <c r="BR16" s="117">
        <v>10.489614109824464</v>
      </c>
      <c r="BS16" s="116">
        <v>23666</v>
      </c>
      <c r="BT16" s="118">
        <v>0.45306951437173792</v>
      </c>
      <c r="BU16" s="115">
        <v>12535340</v>
      </c>
      <c r="BV16" s="116">
        <v>36369</v>
      </c>
      <c r="BW16" s="117">
        <v>0.29013173954595567</v>
      </c>
      <c r="BX16" s="116">
        <v>670</v>
      </c>
      <c r="BY16" s="118">
        <v>5.3448889300170563E-3</v>
      </c>
    </row>
    <row r="17" spans="1:77" ht="15.5" x14ac:dyDescent="0.35">
      <c r="A17" s="109">
        <v>11</v>
      </c>
      <c r="B17" s="110">
        <v>44276</v>
      </c>
      <c r="C17" s="115">
        <v>2798871</v>
      </c>
      <c r="D17" s="116">
        <v>2639879</v>
      </c>
      <c r="E17" s="117">
        <v>94.319423796237842</v>
      </c>
      <c r="F17" s="116">
        <v>722460</v>
      </c>
      <c r="G17" s="118">
        <v>25.812550846394849</v>
      </c>
      <c r="H17" s="115">
        <v>2079085</v>
      </c>
      <c r="I17" s="116">
        <v>1964276</v>
      </c>
      <c r="J17" s="117">
        <v>94.477907348665397</v>
      </c>
      <c r="K17" s="116">
        <v>69803</v>
      </c>
      <c r="L17" s="118">
        <v>3.3573903904842757</v>
      </c>
      <c r="M17" s="115">
        <v>2872687</v>
      </c>
      <c r="N17" s="116">
        <v>2679299</v>
      </c>
      <c r="O17" s="117">
        <v>93.268044865312518</v>
      </c>
      <c r="P17" s="116">
        <v>43903</v>
      </c>
      <c r="Q17" s="118">
        <v>1.5282904124257184</v>
      </c>
      <c r="R17" s="115">
        <v>2890321</v>
      </c>
      <c r="S17" s="116">
        <v>2593771</v>
      </c>
      <c r="T17" s="117">
        <v>89.739893942575932</v>
      </c>
      <c r="U17" s="116">
        <v>44513</v>
      </c>
      <c r="V17" s="118">
        <v>1.5400711547264128</v>
      </c>
      <c r="W17" s="115">
        <v>3449617</v>
      </c>
      <c r="X17" s="116">
        <v>2890877</v>
      </c>
      <c r="Y17" s="117">
        <v>83.802839561609304</v>
      </c>
      <c r="Z17" s="116">
        <v>85907</v>
      </c>
      <c r="AA17" s="118">
        <v>2.4903344342284957</v>
      </c>
      <c r="AB17" s="115">
        <v>4075327</v>
      </c>
      <c r="AC17" s="116">
        <v>2954520</v>
      </c>
      <c r="AD17" s="117">
        <v>72.497740672098203</v>
      </c>
      <c r="AE17" s="116">
        <v>114285</v>
      </c>
      <c r="AF17" s="118">
        <v>2.8043148439376768</v>
      </c>
      <c r="AG17" s="115">
        <v>4223218</v>
      </c>
      <c r="AH17" s="116">
        <v>2563870</v>
      </c>
      <c r="AI17" s="117">
        <v>60.708919122811089</v>
      </c>
      <c r="AJ17" s="116">
        <v>111322</v>
      </c>
      <c r="AK17" s="118">
        <v>2.6359520157377623</v>
      </c>
      <c r="AL17" s="115">
        <v>3995609</v>
      </c>
      <c r="AM17" s="116">
        <v>1305079</v>
      </c>
      <c r="AN17" s="117">
        <v>32.662830622315646</v>
      </c>
      <c r="AO17" s="116">
        <v>96336</v>
      </c>
      <c r="AP17" s="118">
        <v>2.4110467265440638</v>
      </c>
      <c r="AQ17" s="115">
        <v>4119767</v>
      </c>
      <c r="AR17" s="116">
        <v>1054973</v>
      </c>
      <c r="AS17" s="117">
        <v>25.607588972871525</v>
      </c>
      <c r="AT17" s="116">
        <v>84199</v>
      </c>
      <c r="AU17" s="118">
        <v>2.043780631283274</v>
      </c>
      <c r="AV17" s="115">
        <v>31436969</v>
      </c>
      <c r="AW17" s="116">
        <v>3107740</v>
      </c>
      <c r="AX17" s="117">
        <v>9.8856222430349447</v>
      </c>
      <c r="AY17" s="116">
        <v>254060</v>
      </c>
      <c r="AZ17" s="118">
        <v>0.80815679145149144</v>
      </c>
      <c r="BA17" s="115">
        <v>4503633</v>
      </c>
      <c r="BB17" s="116">
        <v>924181</v>
      </c>
      <c r="BC17" s="117">
        <v>20.520788439022454</v>
      </c>
      <c r="BD17" s="116">
        <v>75124</v>
      </c>
      <c r="BE17" s="118">
        <v>1.6680755292449452</v>
      </c>
      <c r="BF17" s="115">
        <v>4741565</v>
      </c>
      <c r="BG17" s="116">
        <v>824750</v>
      </c>
      <c r="BH17" s="117">
        <v>17.39404605863254</v>
      </c>
      <c r="BI17" s="116">
        <v>73250</v>
      </c>
      <c r="BJ17" s="118">
        <v>1.5448485890207138</v>
      </c>
      <c r="BK17" s="115">
        <v>4432950</v>
      </c>
      <c r="BL17" s="116">
        <v>683208</v>
      </c>
      <c r="BM17" s="117">
        <v>15.412039386864279</v>
      </c>
      <c r="BN17" s="116">
        <v>63257</v>
      </c>
      <c r="BO17" s="118">
        <v>1.4269730089443824</v>
      </c>
      <c r="BP17" s="115">
        <v>5223481</v>
      </c>
      <c r="BQ17" s="116">
        <v>634609</v>
      </c>
      <c r="BR17" s="117">
        <v>12.149158769793553</v>
      </c>
      <c r="BS17" s="116">
        <v>41288</v>
      </c>
      <c r="BT17" s="118">
        <v>0.79043074914984857</v>
      </c>
      <c r="BU17" s="115">
        <v>12535340</v>
      </c>
      <c r="BV17" s="116">
        <v>40992</v>
      </c>
      <c r="BW17" s="117">
        <v>0.32701147316307339</v>
      </c>
      <c r="BX17" s="116">
        <v>1141</v>
      </c>
      <c r="BY17" s="118">
        <v>9.1022660733574047E-3</v>
      </c>
    </row>
    <row r="18" spans="1:77" ht="15.5" x14ac:dyDescent="0.35">
      <c r="A18" s="109">
        <v>12</v>
      </c>
      <c r="B18" s="110">
        <v>44283</v>
      </c>
      <c r="C18" s="115">
        <v>2798871</v>
      </c>
      <c r="D18" s="116">
        <v>2645267</v>
      </c>
      <c r="E18" s="117">
        <v>94.511929988913394</v>
      </c>
      <c r="F18" s="116">
        <v>1133635</v>
      </c>
      <c r="G18" s="118">
        <v>40.503295793196614</v>
      </c>
      <c r="H18" s="115">
        <v>2079085</v>
      </c>
      <c r="I18" s="116">
        <v>1967961</v>
      </c>
      <c r="J18" s="117">
        <v>94.655148779390927</v>
      </c>
      <c r="K18" s="116">
        <v>236064</v>
      </c>
      <c r="L18" s="118">
        <v>11.354225536714468</v>
      </c>
      <c r="M18" s="115">
        <v>2872687</v>
      </c>
      <c r="N18" s="116">
        <v>2685444</v>
      </c>
      <c r="O18" s="117">
        <v>93.481956091979384</v>
      </c>
      <c r="P18" s="116">
        <v>124270</v>
      </c>
      <c r="Q18" s="118">
        <v>4.325915075328429</v>
      </c>
      <c r="R18" s="115">
        <v>2890321</v>
      </c>
      <c r="S18" s="116">
        <v>2614361</v>
      </c>
      <c r="T18" s="117">
        <v>90.452271564300304</v>
      </c>
      <c r="U18" s="116">
        <v>90553</v>
      </c>
      <c r="V18" s="118">
        <v>3.1329738115593391</v>
      </c>
      <c r="W18" s="115">
        <v>3449617</v>
      </c>
      <c r="X18" s="116">
        <v>2989902</v>
      </c>
      <c r="Y18" s="117">
        <v>86.673448095832086</v>
      </c>
      <c r="Z18" s="116">
        <v>148648</v>
      </c>
      <c r="AA18" s="118">
        <v>4.3091160554925372</v>
      </c>
      <c r="AB18" s="115">
        <v>4075327</v>
      </c>
      <c r="AC18" s="116">
        <v>3333587</v>
      </c>
      <c r="AD18" s="117">
        <v>81.799251937329203</v>
      </c>
      <c r="AE18" s="116">
        <v>192664</v>
      </c>
      <c r="AF18" s="118">
        <v>4.7275715543807895</v>
      </c>
      <c r="AG18" s="115">
        <v>4223218</v>
      </c>
      <c r="AH18" s="116">
        <v>3239176</v>
      </c>
      <c r="AI18" s="117">
        <v>76.699237406167526</v>
      </c>
      <c r="AJ18" s="116">
        <v>186681</v>
      </c>
      <c r="AK18" s="118">
        <v>4.4203496007073282</v>
      </c>
      <c r="AL18" s="115">
        <v>3995609</v>
      </c>
      <c r="AM18" s="116">
        <v>1594177</v>
      </c>
      <c r="AN18" s="117">
        <v>39.898223274599694</v>
      </c>
      <c r="AO18" s="116">
        <v>159639</v>
      </c>
      <c r="AP18" s="118">
        <v>3.995360907436138</v>
      </c>
      <c r="AQ18" s="115">
        <v>4119767</v>
      </c>
      <c r="AR18" s="116">
        <v>1223574</v>
      </c>
      <c r="AS18" s="117">
        <v>29.700077698568876</v>
      </c>
      <c r="AT18" s="116">
        <v>139395</v>
      </c>
      <c r="AU18" s="118">
        <v>3.3835651385139012</v>
      </c>
      <c r="AV18" s="115">
        <v>31436969</v>
      </c>
      <c r="AW18" s="116">
        <v>3488810</v>
      </c>
      <c r="AX18" s="117">
        <v>11.09779381084735</v>
      </c>
      <c r="AY18" s="116">
        <v>431475</v>
      </c>
      <c r="AZ18" s="118">
        <v>1.3725082720283879</v>
      </c>
      <c r="BA18" s="115">
        <v>4503633</v>
      </c>
      <c r="BB18" s="116">
        <v>1035119</v>
      </c>
      <c r="BC18" s="117">
        <v>22.984088623562354</v>
      </c>
      <c r="BD18" s="116">
        <v>125645</v>
      </c>
      <c r="BE18" s="118">
        <v>2.7898587651347255</v>
      </c>
      <c r="BF18" s="115">
        <v>4741565</v>
      </c>
      <c r="BG18" s="116">
        <v>921589</v>
      </c>
      <c r="BH18" s="117">
        <v>19.43638861852574</v>
      </c>
      <c r="BI18" s="116">
        <v>122248</v>
      </c>
      <c r="BJ18" s="118">
        <v>2.5782204820560302</v>
      </c>
      <c r="BK18" s="115">
        <v>4432950</v>
      </c>
      <c r="BL18" s="116">
        <v>763579</v>
      </c>
      <c r="BM18" s="117">
        <v>17.225075852423331</v>
      </c>
      <c r="BN18" s="116">
        <v>106059</v>
      </c>
      <c r="BO18" s="118">
        <v>2.3925151422867388</v>
      </c>
      <c r="BP18" s="115">
        <v>5223481</v>
      </c>
      <c r="BQ18" s="116">
        <v>719164</v>
      </c>
      <c r="BR18" s="117">
        <v>13.767906880488317</v>
      </c>
      <c r="BS18" s="116">
        <v>75394</v>
      </c>
      <c r="BT18" s="118">
        <v>1.443366980754788</v>
      </c>
      <c r="BU18" s="115">
        <v>12535340</v>
      </c>
      <c r="BV18" s="116">
        <v>49359</v>
      </c>
      <c r="BW18" s="117">
        <v>0.39375876521897296</v>
      </c>
      <c r="BX18" s="116">
        <v>2129</v>
      </c>
      <c r="BY18" s="118">
        <v>1.6983982883591511E-2</v>
      </c>
    </row>
    <row r="19" spans="1:77" ht="15.5" x14ac:dyDescent="0.35">
      <c r="A19" s="109">
        <v>13</v>
      </c>
      <c r="B19" s="110">
        <v>44290</v>
      </c>
      <c r="C19" s="115">
        <v>2798871</v>
      </c>
      <c r="D19" s="116">
        <v>2649125</v>
      </c>
      <c r="E19" s="117">
        <v>94.649771282777948</v>
      </c>
      <c r="F19" s="116">
        <v>1653523</v>
      </c>
      <c r="G19" s="118">
        <v>59.078214037017077</v>
      </c>
      <c r="H19" s="115">
        <v>2079085</v>
      </c>
      <c r="I19" s="116">
        <v>1970367</v>
      </c>
      <c r="J19" s="117">
        <v>94.770872763739817</v>
      </c>
      <c r="K19" s="116">
        <v>519437</v>
      </c>
      <c r="L19" s="118">
        <v>24.983923216222522</v>
      </c>
      <c r="M19" s="115">
        <v>2872687</v>
      </c>
      <c r="N19" s="116">
        <v>2689226</v>
      </c>
      <c r="O19" s="117">
        <v>93.61360983636574</v>
      </c>
      <c r="P19" s="116">
        <v>274202</v>
      </c>
      <c r="Q19" s="118">
        <v>9.5451401423127553</v>
      </c>
      <c r="R19" s="115">
        <v>2890321</v>
      </c>
      <c r="S19" s="116">
        <v>2623731</v>
      </c>
      <c r="T19" s="117">
        <v>90.776457009446361</v>
      </c>
      <c r="U19" s="116">
        <v>147933</v>
      </c>
      <c r="V19" s="118">
        <v>5.1182204329553702</v>
      </c>
      <c r="W19" s="115">
        <v>3449617</v>
      </c>
      <c r="X19" s="116">
        <v>3020217</v>
      </c>
      <c r="Y19" s="117">
        <v>87.552241306788545</v>
      </c>
      <c r="Z19" s="116">
        <v>218945</v>
      </c>
      <c r="AA19" s="118">
        <v>6.3469364859925035</v>
      </c>
      <c r="AB19" s="115">
        <v>4075327</v>
      </c>
      <c r="AC19" s="116">
        <v>3442387</v>
      </c>
      <c r="AD19" s="117">
        <v>84.468976354535471</v>
      </c>
      <c r="AE19" s="116">
        <v>277233</v>
      </c>
      <c r="AF19" s="118">
        <v>6.8027179168690024</v>
      </c>
      <c r="AG19" s="115">
        <v>4223218</v>
      </c>
      <c r="AH19" s="116">
        <v>3413179</v>
      </c>
      <c r="AI19" s="117">
        <v>80.819389385061342</v>
      </c>
      <c r="AJ19" s="116">
        <v>267030</v>
      </c>
      <c r="AK19" s="118">
        <v>6.3229035299622236</v>
      </c>
      <c r="AL19" s="115">
        <v>3995609</v>
      </c>
      <c r="AM19" s="116">
        <v>1731800</v>
      </c>
      <c r="AN19" s="117">
        <v>43.342579316444628</v>
      </c>
      <c r="AO19" s="116">
        <v>225600</v>
      </c>
      <c r="AP19" s="118">
        <v>5.6461981139796213</v>
      </c>
      <c r="AQ19" s="115">
        <v>4119767</v>
      </c>
      <c r="AR19" s="116">
        <v>1327443</v>
      </c>
      <c r="AS19" s="117">
        <v>32.221312515974809</v>
      </c>
      <c r="AT19" s="116">
        <v>196339</v>
      </c>
      <c r="AU19" s="118">
        <v>4.765779229747702</v>
      </c>
      <c r="AV19" s="115">
        <v>31436969</v>
      </c>
      <c r="AW19" s="116">
        <v>3724113</v>
      </c>
      <c r="AX19" s="117">
        <v>11.846285180991845</v>
      </c>
      <c r="AY19" s="116">
        <v>620324</v>
      </c>
      <c r="AZ19" s="118">
        <v>1.9732309434793156</v>
      </c>
      <c r="BA19" s="115">
        <v>4503633</v>
      </c>
      <c r="BB19" s="116">
        <v>1104972</v>
      </c>
      <c r="BC19" s="117">
        <v>24.535125308834001</v>
      </c>
      <c r="BD19" s="116">
        <v>178308</v>
      </c>
      <c r="BE19" s="118">
        <v>3.9592036029578788</v>
      </c>
      <c r="BF19" s="115">
        <v>4741565</v>
      </c>
      <c r="BG19" s="116">
        <v>979186</v>
      </c>
      <c r="BH19" s="117">
        <v>20.65111413636637</v>
      </c>
      <c r="BI19" s="116">
        <v>173717</v>
      </c>
      <c r="BJ19" s="118">
        <v>3.6637059704970825</v>
      </c>
      <c r="BK19" s="115">
        <v>4432950</v>
      </c>
      <c r="BL19" s="116">
        <v>812130</v>
      </c>
      <c r="BM19" s="117">
        <v>18.320305891110884</v>
      </c>
      <c r="BN19" s="116">
        <v>151293</v>
      </c>
      <c r="BO19" s="118">
        <v>3.4129191621831962</v>
      </c>
      <c r="BP19" s="115">
        <v>5223481</v>
      </c>
      <c r="BQ19" s="116">
        <v>773781</v>
      </c>
      <c r="BR19" s="117">
        <v>14.813512291898832</v>
      </c>
      <c r="BS19" s="116">
        <v>113774</v>
      </c>
      <c r="BT19" s="118">
        <v>2.178126042767266</v>
      </c>
      <c r="BU19" s="115">
        <v>12535340</v>
      </c>
      <c r="BV19" s="116">
        <v>54044</v>
      </c>
      <c r="BW19" s="117">
        <v>0.4311331004982713</v>
      </c>
      <c r="BX19" s="116">
        <v>3232</v>
      </c>
      <c r="BY19" s="118">
        <v>2.5783106002709139E-2</v>
      </c>
    </row>
    <row r="20" spans="1:77" ht="15.5" x14ac:dyDescent="0.35">
      <c r="A20" s="109">
        <v>14</v>
      </c>
      <c r="B20" s="110">
        <v>44297</v>
      </c>
      <c r="C20" s="115">
        <v>2798871</v>
      </c>
      <c r="D20" s="116">
        <v>2652068</v>
      </c>
      <c r="E20" s="117">
        <v>94.754920823432016</v>
      </c>
      <c r="F20" s="116">
        <v>2098788</v>
      </c>
      <c r="G20" s="118">
        <v>74.986950095234832</v>
      </c>
      <c r="H20" s="115">
        <v>2079085</v>
      </c>
      <c r="I20" s="116">
        <v>1972455</v>
      </c>
      <c r="J20" s="117">
        <v>94.871301558137361</v>
      </c>
      <c r="K20" s="116">
        <v>986278</v>
      </c>
      <c r="L20" s="118">
        <v>47.438079732189884</v>
      </c>
      <c r="M20" s="115">
        <v>2872687</v>
      </c>
      <c r="N20" s="116">
        <v>2692257</v>
      </c>
      <c r="O20" s="117">
        <v>93.719120809193626</v>
      </c>
      <c r="P20" s="116">
        <v>611528</v>
      </c>
      <c r="Q20" s="118">
        <v>21.287665520121056</v>
      </c>
      <c r="R20" s="115">
        <v>2890321</v>
      </c>
      <c r="S20" s="116">
        <v>2629158</v>
      </c>
      <c r="T20" s="117">
        <v>90.964221621058698</v>
      </c>
      <c r="U20" s="116">
        <v>261886</v>
      </c>
      <c r="V20" s="118">
        <v>9.0607929015496893</v>
      </c>
      <c r="W20" s="115">
        <v>3449617</v>
      </c>
      <c r="X20" s="116">
        <v>3032904</v>
      </c>
      <c r="Y20" s="117">
        <v>87.92002126612897</v>
      </c>
      <c r="Z20" s="116">
        <v>311925</v>
      </c>
      <c r="AA20" s="118">
        <v>9.0423081750814642</v>
      </c>
      <c r="AB20" s="115">
        <v>4075327</v>
      </c>
      <c r="AC20" s="116">
        <v>3471820</v>
      </c>
      <c r="AD20" s="117">
        <v>85.191200607951217</v>
      </c>
      <c r="AE20" s="116">
        <v>377991</v>
      </c>
      <c r="AF20" s="118">
        <v>9.2751084759578806</v>
      </c>
      <c r="AG20" s="115">
        <v>4223218</v>
      </c>
      <c r="AH20" s="116">
        <v>3456978</v>
      </c>
      <c r="AI20" s="117">
        <v>81.856489530021889</v>
      </c>
      <c r="AJ20" s="116">
        <v>360442</v>
      </c>
      <c r="AK20" s="118">
        <v>8.5347713520827018</v>
      </c>
      <c r="AL20" s="115">
        <v>3995609</v>
      </c>
      <c r="AM20" s="116">
        <v>1807735</v>
      </c>
      <c r="AN20" s="117">
        <v>45.243040547761304</v>
      </c>
      <c r="AO20" s="116">
        <v>301263</v>
      </c>
      <c r="AP20" s="118">
        <v>7.5398518723929193</v>
      </c>
      <c r="AQ20" s="115">
        <v>4119767</v>
      </c>
      <c r="AR20" s="116">
        <v>1389575</v>
      </c>
      <c r="AS20" s="117">
        <v>33.729456059044118</v>
      </c>
      <c r="AT20" s="116">
        <v>261331</v>
      </c>
      <c r="AU20" s="118">
        <v>6.343344174561329</v>
      </c>
      <c r="AV20" s="115">
        <v>31436969</v>
      </c>
      <c r="AW20" s="116">
        <v>3826990</v>
      </c>
      <c r="AX20" s="117">
        <v>12.17353365077912</v>
      </c>
      <c r="AY20" s="116">
        <v>838288</v>
      </c>
      <c r="AZ20" s="118">
        <v>2.66656750528335</v>
      </c>
      <c r="BA20" s="115">
        <v>4503633</v>
      </c>
      <c r="BB20" s="116">
        <v>1141989</v>
      </c>
      <c r="BC20" s="117">
        <v>25.357061732161569</v>
      </c>
      <c r="BD20" s="116">
        <v>238399</v>
      </c>
      <c r="BE20" s="118">
        <v>5.2934819511270126</v>
      </c>
      <c r="BF20" s="115">
        <v>4741565</v>
      </c>
      <c r="BG20" s="116">
        <v>1008636</v>
      </c>
      <c r="BH20" s="117">
        <v>21.272217084443636</v>
      </c>
      <c r="BI20" s="116">
        <v>231263</v>
      </c>
      <c r="BJ20" s="118">
        <v>4.8773558940982564</v>
      </c>
      <c r="BK20" s="115">
        <v>4432950</v>
      </c>
      <c r="BL20" s="116">
        <v>827700</v>
      </c>
      <c r="BM20" s="117">
        <v>18.671539268432984</v>
      </c>
      <c r="BN20" s="116">
        <v>202910</v>
      </c>
      <c r="BO20" s="118">
        <v>4.5773130759426568</v>
      </c>
      <c r="BP20" s="115">
        <v>5223481</v>
      </c>
      <c r="BQ20" s="116">
        <v>791168</v>
      </c>
      <c r="BR20" s="117">
        <v>15.146374611107039</v>
      </c>
      <c r="BS20" s="116">
        <v>161008</v>
      </c>
      <c r="BT20" s="118">
        <v>3.0823889279964836</v>
      </c>
      <c r="BU20" s="115">
        <v>12535340</v>
      </c>
      <c r="BV20" s="116">
        <v>57497</v>
      </c>
      <c r="BW20" s="117">
        <v>0.45867922210326967</v>
      </c>
      <c r="BX20" s="116">
        <v>4708</v>
      </c>
      <c r="BY20" s="118">
        <v>3.7557816541075074E-2</v>
      </c>
    </row>
    <row r="21" spans="1:77" ht="15.5" x14ac:dyDescent="0.35">
      <c r="A21" s="109">
        <v>15</v>
      </c>
      <c r="B21" s="110">
        <v>44304</v>
      </c>
      <c r="C21" s="119">
        <v>2798871</v>
      </c>
      <c r="D21" s="120">
        <v>2654337</v>
      </c>
      <c r="E21" s="121">
        <v>94.835989225655624</v>
      </c>
      <c r="F21" s="120">
        <v>2334027</v>
      </c>
      <c r="G21" s="122">
        <v>83.391731880461805</v>
      </c>
      <c r="H21" s="119">
        <v>2079085</v>
      </c>
      <c r="I21" s="120">
        <v>1974274</v>
      </c>
      <c r="J21" s="121">
        <v>94.958791968582332</v>
      </c>
      <c r="K21" s="120">
        <v>1490009</v>
      </c>
      <c r="L21" s="122">
        <v>71.666574478676921</v>
      </c>
      <c r="M21" s="119">
        <v>2872687</v>
      </c>
      <c r="N21" s="120">
        <v>2694854</v>
      </c>
      <c r="O21" s="121">
        <v>93.809523975288641</v>
      </c>
      <c r="P21" s="120">
        <v>1149989</v>
      </c>
      <c r="Q21" s="122">
        <v>40.031823863859863</v>
      </c>
      <c r="R21" s="119">
        <v>2890321</v>
      </c>
      <c r="S21" s="120">
        <v>2632959</v>
      </c>
      <c r="T21" s="121">
        <v>91.095729505477081</v>
      </c>
      <c r="U21" s="120">
        <v>470606</v>
      </c>
      <c r="V21" s="122">
        <v>16.282136136436058</v>
      </c>
      <c r="W21" s="119">
        <v>3449617</v>
      </c>
      <c r="X21" s="120">
        <v>3039696</v>
      </c>
      <c r="Y21" s="121">
        <v>88.11691268914781</v>
      </c>
      <c r="Z21" s="120">
        <v>432023</v>
      </c>
      <c r="AA21" s="122">
        <v>12.523796119975058</v>
      </c>
      <c r="AB21" s="119">
        <v>4075327</v>
      </c>
      <c r="AC21" s="120">
        <v>3484778</v>
      </c>
      <c r="AD21" s="121">
        <v>85.509162823007827</v>
      </c>
      <c r="AE21" s="120">
        <v>491096</v>
      </c>
      <c r="AF21" s="122">
        <v>12.050468588164827</v>
      </c>
      <c r="AG21" s="119">
        <v>4223218</v>
      </c>
      <c r="AH21" s="120">
        <v>3477259</v>
      </c>
      <c r="AI21" s="121">
        <v>82.336715746144293</v>
      </c>
      <c r="AJ21" s="120">
        <v>459292</v>
      </c>
      <c r="AK21" s="122">
        <v>10.875403542985469</v>
      </c>
      <c r="AL21" s="119">
        <v>3995609</v>
      </c>
      <c r="AM21" s="120">
        <v>2153730</v>
      </c>
      <c r="AN21" s="121">
        <v>53.902421383073275</v>
      </c>
      <c r="AO21" s="120">
        <v>378728</v>
      </c>
      <c r="AP21" s="122">
        <v>9.4786051387911066</v>
      </c>
      <c r="AQ21" s="119">
        <v>4119767</v>
      </c>
      <c r="AR21" s="120">
        <v>1440907</v>
      </c>
      <c r="AS21" s="121">
        <v>34.975448854267725</v>
      </c>
      <c r="AT21" s="120">
        <v>325464</v>
      </c>
      <c r="AU21" s="122">
        <v>7.9000584256342652</v>
      </c>
      <c r="AV21" s="119">
        <v>31436969</v>
      </c>
      <c r="AW21" s="120">
        <v>3896263</v>
      </c>
      <c r="AX21" s="121">
        <v>12.393888863776912</v>
      </c>
      <c r="AY21" s="120">
        <v>1047323</v>
      </c>
      <c r="AZ21" s="122">
        <v>3.3315012016584675</v>
      </c>
      <c r="BA21" s="119">
        <v>4503633</v>
      </c>
      <c r="BB21" s="120">
        <v>1166910</v>
      </c>
      <c r="BC21" s="121">
        <v>25.910414991630091</v>
      </c>
      <c r="BD21" s="120">
        <v>296782</v>
      </c>
      <c r="BE21" s="122">
        <v>6.5898353618067897</v>
      </c>
      <c r="BF21" s="119">
        <v>4741565</v>
      </c>
      <c r="BG21" s="120">
        <v>1029358</v>
      </c>
      <c r="BH21" s="121">
        <v>21.70924578699227</v>
      </c>
      <c r="BI21" s="120">
        <v>285515</v>
      </c>
      <c r="BJ21" s="122">
        <v>6.0215350838805328</v>
      </c>
      <c r="BK21" s="119">
        <v>4432950</v>
      </c>
      <c r="BL21" s="120">
        <v>838285</v>
      </c>
      <c r="BM21" s="121">
        <v>18.910319313324084</v>
      </c>
      <c r="BN21" s="120">
        <v>250395</v>
      </c>
      <c r="BO21" s="122">
        <v>5.6484959225797722</v>
      </c>
      <c r="BP21" s="119">
        <v>5223481</v>
      </c>
      <c r="BQ21" s="120">
        <v>801354</v>
      </c>
      <c r="BR21" s="121">
        <v>15.341378670660427</v>
      </c>
      <c r="BS21" s="120">
        <v>207906</v>
      </c>
      <c r="BT21" s="122">
        <v>3.9802193211768166</v>
      </c>
      <c r="BU21" s="119">
        <v>12535340</v>
      </c>
      <c r="BV21" s="120">
        <v>60356</v>
      </c>
      <c r="BW21" s="121">
        <v>0.48148674068673053</v>
      </c>
      <c r="BX21" s="120">
        <v>6725</v>
      </c>
      <c r="BY21" s="122">
        <v>5.3648325454275669E-2</v>
      </c>
    </row>
    <row r="22" spans="1:77" ht="15.5" x14ac:dyDescent="0.35">
      <c r="A22" s="109">
        <v>16</v>
      </c>
      <c r="B22" s="110">
        <v>44311</v>
      </c>
      <c r="C22" s="119">
        <v>2798871</v>
      </c>
      <c r="D22" s="120">
        <v>2656131</v>
      </c>
      <c r="E22" s="121">
        <v>94.900086499163422</v>
      </c>
      <c r="F22" s="120">
        <v>2446814</v>
      </c>
      <c r="G22" s="122">
        <v>87.421463868824262</v>
      </c>
      <c r="H22" s="119">
        <v>2079085</v>
      </c>
      <c r="I22" s="120">
        <v>1975744</v>
      </c>
      <c r="J22" s="121">
        <v>95.029496148546116</v>
      </c>
      <c r="K22" s="120">
        <v>1768824</v>
      </c>
      <c r="L22" s="122">
        <v>85.077041102215631</v>
      </c>
      <c r="M22" s="119">
        <v>2872687</v>
      </c>
      <c r="N22" s="120">
        <v>2697586</v>
      </c>
      <c r="O22" s="121">
        <v>93.904626574353557</v>
      </c>
      <c r="P22" s="120">
        <v>1906970</v>
      </c>
      <c r="Q22" s="122">
        <v>66.382797708208372</v>
      </c>
      <c r="R22" s="119">
        <v>2890321</v>
      </c>
      <c r="S22" s="120">
        <v>2636527</v>
      </c>
      <c r="T22" s="121">
        <v>91.219176001558296</v>
      </c>
      <c r="U22" s="120">
        <v>836908</v>
      </c>
      <c r="V22" s="122">
        <v>28.955538156488501</v>
      </c>
      <c r="W22" s="119">
        <v>3449617</v>
      </c>
      <c r="X22" s="120">
        <v>3045474</v>
      </c>
      <c r="Y22" s="121">
        <v>88.284409544595817</v>
      </c>
      <c r="Z22" s="120">
        <v>598289</v>
      </c>
      <c r="AA22" s="122">
        <v>17.343635539829492</v>
      </c>
      <c r="AB22" s="119">
        <v>4075327</v>
      </c>
      <c r="AC22" s="120">
        <v>3495269</v>
      </c>
      <c r="AD22" s="121">
        <v>85.766590018420601</v>
      </c>
      <c r="AE22" s="120">
        <v>627384</v>
      </c>
      <c r="AF22" s="122">
        <v>15.394691027247628</v>
      </c>
      <c r="AG22" s="119">
        <v>4223218</v>
      </c>
      <c r="AH22" s="120">
        <v>3493225</v>
      </c>
      <c r="AI22" s="121">
        <v>82.714768690605126</v>
      </c>
      <c r="AJ22" s="120">
        <v>569036</v>
      </c>
      <c r="AK22" s="122">
        <v>13.473990686722779</v>
      </c>
      <c r="AL22" s="119">
        <v>3995609</v>
      </c>
      <c r="AM22" s="120">
        <v>2581288</v>
      </c>
      <c r="AN22" s="121">
        <v>64.60311807286449</v>
      </c>
      <c r="AO22" s="120">
        <v>459699</v>
      </c>
      <c r="AP22" s="122">
        <v>11.505104728715947</v>
      </c>
      <c r="AQ22" s="119">
        <v>4119767</v>
      </c>
      <c r="AR22" s="120">
        <v>1544446</v>
      </c>
      <c r="AS22" s="121">
        <v>37.488673509933932</v>
      </c>
      <c r="AT22" s="120">
        <v>390204</v>
      </c>
      <c r="AU22" s="122">
        <v>9.4715065196648247</v>
      </c>
      <c r="AV22" s="119">
        <v>31436969</v>
      </c>
      <c r="AW22" s="120">
        <v>3979261</v>
      </c>
      <c r="AX22" s="121">
        <v>12.657902865890156</v>
      </c>
      <c r="AY22" s="120">
        <v>1240042</v>
      </c>
      <c r="AZ22" s="122">
        <v>3.9445342202042442</v>
      </c>
      <c r="BA22" s="119">
        <v>4503633</v>
      </c>
      <c r="BB22" s="120">
        <v>1200136</v>
      </c>
      <c r="BC22" s="121">
        <v>26.648174928996209</v>
      </c>
      <c r="BD22" s="120">
        <v>353003</v>
      </c>
      <c r="BE22" s="122">
        <v>7.8381830846341165</v>
      </c>
      <c r="BF22" s="119">
        <v>4741565</v>
      </c>
      <c r="BG22" s="120">
        <v>1054817</v>
      </c>
      <c r="BH22" s="121">
        <v>22.246178213311428</v>
      </c>
      <c r="BI22" s="120">
        <v>335606</v>
      </c>
      <c r="BJ22" s="122">
        <v>7.0779584377731828</v>
      </c>
      <c r="BK22" s="119">
        <v>4432950</v>
      </c>
      <c r="BL22" s="120">
        <v>849546</v>
      </c>
      <c r="BM22" s="121">
        <v>19.164348797076439</v>
      </c>
      <c r="BN22" s="120">
        <v>293012</v>
      </c>
      <c r="BO22" s="122">
        <v>6.6098647627426423</v>
      </c>
      <c r="BP22" s="119">
        <v>5223481</v>
      </c>
      <c r="BQ22" s="120">
        <v>812386</v>
      </c>
      <c r="BR22" s="121">
        <v>15.552578826265473</v>
      </c>
      <c r="BS22" s="120">
        <v>249278</v>
      </c>
      <c r="BT22" s="122">
        <v>4.772258193338887</v>
      </c>
      <c r="BU22" s="119">
        <v>12535340</v>
      </c>
      <c r="BV22" s="120">
        <v>62376</v>
      </c>
      <c r="BW22" s="121">
        <v>0.49760118193842362</v>
      </c>
      <c r="BX22" s="120">
        <v>9143</v>
      </c>
      <c r="BY22" s="122">
        <v>7.2937790279322304E-2</v>
      </c>
    </row>
    <row r="23" spans="1:77" ht="15.5" x14ac:dyDescent="0.35">
      <c r="A23" s="109">
        <v>17</v>
      </c>
      <c r="B23" s="110">
        <v>44318</v>
      </c>
      <c r="C23" s="119">
        <v>2798871</v>
      </c>
      <c r="D23" s="120">
        <v>2657671</v>
      </c>
      <c r="E23" s="121">
        <v>94.955108684894725</v>
      </c>
      <c r="F23" s="120">
        <v>2507635</v>
      </c>
      <c r="G23" s="122">
        <v>89.594518646983019</v>
      </c>
      <c r="H23" s="119">
        <v>2079085</v>
      </c>
      <c r="I23" s="120">
        <v>1976856</v>
      </c>
      <c r="J23" s="121">
        <v>95.082981215294225</v>
      </c>
      <c r="K23" s="120">
        <v>1866881</v>
      </c>
      <c r="L23" s="122">
        <v>89.793394690452772</v>
      </c>
      <c r="M23" s="119">
        <v>2872687</v>
      </c>
      <c r="N23" s="120">
        <v>2699727</v>
      </c>
      <c r="O23" s="121">
        <v>93.9791561001947</v>
      </c>
      <c r="P23" s="120">
        <v>2417871</v>
      </c>
      <c r="Q23" s="122">
        <v>84.167575513795967</v>
      </c>
      <c r="R23" s="119">
        <v>2890321</v>
      </c>
      <c r="S23" s="120">
        <v>2639956</v>
      </c>
      <c r="T23" s="121">
        <v>91.337813343223814</v>
      </c>
      <c r="U23" s="120">
        <v>1429195</v>
      </c>
      <c r="V23" s="122">
        <v>49.447621907739659</v>
      </c>
      <c r="W23" s="119">
        <v>3449617</v>
      </c>
      <c r="X23" s="120">
        <v>3050297</v>
      </c>
      <c r="Y23" s="121">
        <v>88.424222167272475</v>
      </c>
      <c r="Z23" s="120">
        <v>819338</v>
      </c>
      <c r="AA23" s="122">
        <v>23.751564304095208</v>
      </c>
      <c r="AB23" s="119">
        <v>4075327</v>
      </c>
      <c r="AC23" s="120">
        <v>3504074</v>
      </c>
      <c r="AD23" s="121">
        <v>85.982646300529993</v>
      </c>
      <c r="AE23" s="120">
        <v>801767</v>
      </c>
      <c r="AF23" s="122">
        <v>19.673685080976323</v>
      </c>
      <c r="AG23" s="119">
        <v>4223218</v>
      </c>
      <c r="AH23" s="120">
        <v>3506383</v>
      </c>
      <c r="AI23" s="121">
        <v>83.026332052951091</v>
      </c>
      <c r="AJ23" s="120">
        <v>704929</v>
      </c>
      <c r="AK23" s="122">
        <v>16.691750224591768</v>
      </c>
      <c r="AL23" s="119">
        <v>3995609</v>
      </c>
      <c r="AM23" s="120">
        <v>2786539</v>
      </c>
      <c r="AN23" s="121">
        <v>69.740032120260025</v>
      </c>
      <c r="AO23" s="120">
        <v>550771</v>
      </c>
      <c r="AP23" s="122">
        <v>13.784406832600487</v>
      </c>
      <c r="AQ23" s="119">
        <v>4119767</v>
      </c>
      <c r="AR23" s="120">
        <v>1883517</v>
      </c>
      <c r="AS23" s="121">
        <v>45.719017604636377</v>
      </c>
      <c r="AT23" s="120">
        <v>461997</v>
      </c>
      <c r="AU23" s="122">
        <v>11.214153615969058</v>
      </c>
      <c r="AV23" s="119">
        <v>31436969</v>
      </c>
      <c r="AW23" s="120">
        <v>4066542</v>
      </c>
      <c r="AX23" s="121">
        <v>12.935540954982013</v>
      </c>
      <c r="AY23" s="120">
        <v>1438973</v>
      </c>
      <c r="AZ23" s="122">
        <v>4.5773274134666098</v>
      </c>
      <c r="BA23" s="119">
        <v>4503633</v>
      </c>
      <c r="BB23" s="120">
        <v>1238153</v>
      </c>
      <c r="BC23" s="121">
        <v>27.492315648277739</v>
      </c>
      <c r="BD23" s="120">
        <v>413615</v>
      </c>
      <c r="BE23" s="122">
        <v>9.1840298709952606</v>
      </c>
      <c r="BF23" s="119">
        <v>4741565</v>
      </c>
      <c r="BG23" s="120">
        <v>1080080</v>
      </c>
      <c r="BH23" s="121">
        <v>22.778976983337778</v>
      </c>
      <c r="BI23" s="120">
        <v>387114</v>
      </c>
      <c r="BJ23" s="122">
        <v>8.1642664394561706</v>
      </c>
      <c r="BK23" s="119">
        <v>4432950</v>
      </c>
      <c r="BL23" s="120">
        <v>860312</v>
      </c>
      <c r="BM23" s="121">
        <v>19.407211901780983</v>
      </c>
      <c r="BN23" s="120">
        <v>335174</v>
      </c>
      <c r="BO23" s="122">
        <v>7.5609695575181313</v>
      </c>
      <c r="BP23" s="119">
        <v>5223481</v>
      </c>
      <c r="BQ23" s="120">
        <v>823668</v>
      </c>
      <c r="BR23" s="121">
        <v>15.768565062264035</v>
      </c>
      <c r="BS23" s="120">
        <v>290886</v>
      </c>
      <c r="BT23" s="122">
        <v>5.568815125392435</v>
      </c>
      <c r="BU23" s="119">
        <v>12535340</v>
      </c>
      <c r="BV23" s="120">
        <v>64329</v>
      </c>
      <c r="BW23" s="121">
        <v>0.5131811342971152</v>
      </c>
      <c r="BX23" s="120">
        <v>12184</v>
      </c>
      <c r="BY23" s="122">
        <v>9.7197204064668363E-2</v>
      </c>
    </row>
    <row r="24" spans="1:77" ht="15.5" x14ac:dyDescent="0.35">
      <c r="A24" s="109">
        <v>18</v>
      </c>
      <c r="B24" s="110">
        <v>44325</v>
      </c>
      <c r="C24" s="119">
        <v>2798871</v>
      </c>
      <c r="D24" s="120">
        <v>2658698</v>
      </c>
      <c r="E24" s="121">
        <v>94.99180205161295</v>
      </c>
      <c r="F24" s="120">
        <v>2537388</v>
      </c>
      <c r="G24" s="122">
        <v>90.657554421050492</v>
      </c>
      <c r="H24" s="119">
        <v>2079085</v>
      </c>
      <c r="I24" s="120">
        <v>1977740</v>
      </c>
      <c r="J24" s="121">
        <v>95.125499919435725</v>
      </c>
      <c r="K24" s="120">
        <v>1900877</v>
      </c>
      <c r="L24" s="122">
        <v>91.428537072798861</v>
      </c>
      <c r="M24" s="119">
        <v>2872687</v>
      </c>
      <c r="N24" s="120">
        <v>2701315</v>
      </c>
      <c r="O24" s="121">
        <v>94.03443535616654</v>
      </c>
      <c r="P24" s="120">
        <v>2557258</v>
      </c>
      <c r="Q24" s="122">
        <v>89.019722649909312</v>
      </c>
      <c r="R24" s="119">
        <v>2890321</v>
      </c>
      <c r="S24" s="120">
        <v>2642925</v>
      </c>
      <c r="T24" s="121">
        <v>91.440535497614277</v>
      </c>
      <c r="U24" s="120">
        <v>1983783</v>
      </c>
      <c r="V24" s="122">
        <v>68.63538686533434</v>
      </c>
      <c r="W24" s="119">
        <v>3449617</v>
      </c>
      <c r="X24" s="120">
        <v>3054863</v>
      </c>
      <c r="Y24" s="121">
        <v>88.556584687517486</v>
      </c>
      <c r="Z24" s="120">
        <v>1147526</v>
      </c>
      <c r="AA24" s="122">
        <v>33.265316120601213</v>
      </c>
      <c r="AB24" s="119">
        <v>4075327</v>
      </c>
      <c r="AC24" s="120">
        <v>3511746</v>
      </c>
      <c r="AD24" s="121">
        <v>86.170901132596228</v>
      </c>
      <c r="AE24" s="120">
        <v>1059437</v>
      </c>
      <c r="AF24" s="122">
        <v>25.996367898821372</v>
      </c>
      <c r="AG24" s="119">
        <v>4223218</v>
      </c>
      <c r="AH24" s="120">
        <v>3517770</v>
      </c>
      <c r="AI24" s="121">
        <v>83.295960568457517</v>
      </c>
      <c r="AJ24" s="120">
        <v>906504</v>
      </c>
      <c r="AK24" s="122">
        <v>21.464769282570778</v>
      </c>
      <c r="AL24" s="119">
        <v>3995609</v>
      </c>
      <c r="AM24" s="120">
        <v>2903410</v>
      </c>
      <c r="AN24" s="121">
        <v>72.665018023535339</v>
      </c>
      <c r="AO24" s="120">
        <v>682813</v>
      </c>
      <c r="AP24" s="122">
        <v>17.089084542556591</v>
      </c>
      <c r="AQ24" s="119">
        <v>4119767</v>
      </c>
      <c r="AR24" s="120">
        <v>2318426</v>
      </c>
      <c r="AS24" s="121">
        <v>56.27565830786061</v>
      </c>
      <c r="AT24" s="120">
        <v>564133</v>
      </c>
      <c r="AU24" s="122">
        <v>13.693322947632719</v>
      </c>
      <c r="AV24" s="119">
        <v>31436969</v>
      </c>
      <c r="AW24" s="120">
        <v>4169263</v>
      </c>
      <c r="AX24" s="121">
        <v>13.262293193723607</v>
      </c>
      <c r="AY24" s="120">
        <v>1713357</v>
      </c>
      <c r="AZ24" s="122">
        <v>5.4501342034596272</v>
      </c>
      <c r="BA24" s="119">
        <v>4503633</v>
      </c>
      <c r="BB24" s="120">
        <v>1296085</v>
      </c>
      <c r="BC24" s="121">
        <v>28.778654921482278</v>
      </c>
      <c r="BD24" s="120">
        <v>499221</v>
      </c>
      <c r="BE24" s="122">
        <v>11.084850830429566</v>
      </c>
      <c r="BF24" s="119">
        <v>4741565</v>
      </c>
      <c r="BG24" s="120">
        <v>1101419</v>
      </c>
      <c r="BH24" s="121">
        <v>23.229018267175501</v>
      </c>
      <c r="BI24" s="120">
        <v>457769</v>
      </c>
      <c r="BJ24" s="122">
        <v>9.6543862627634542</v>
      </c>
      <c r="BK24" s="119">
        <v>4432950</v>
      </c>
      <c r="BL24" s="120">
        <v>871408</v>
      </c>
      <c r="BM24" s="121">
        <v>19.657519259184063</v>
      </c>
      <c r="BN24" s="120">
        <v>392011</v>
      </c>
      <c r="BO24" s="122">
        <v>8.843118013963613</v>
      </c>
      <c r="BP24" s="119">
        <v>5223481</v>
      </c>
      <c r="BQ24" s="120">
        <v>834001</v>
      </c>
      <c r="BR24" s="121">
        <v>15.966383337088811</v>
      </c>
      <c r="BS24" s="120">
        <v>345536</v>
      </c>
      <c r="BT24" s="122">
        <v>6.6150522994148915</v>
      </c>
      <c r="BU24" s="119">
        <v>12535340</v>
      </c>
      <c r="BV24" s="120">
        <v>66350</v>
      </c>
      <c r="BW24" s="121">
        <v>0.52930355299497267</v>
      </c>
      <c r="BX24" s="120">
        <v>18820</v>
      </c>
      <c r="BY24" s="122">
        <v>0.15013553681032982</v>
      </c>
    </row>
    <row r="25" spans="1:77" ht="15.5" x14ac:dyDescent="0.35">
      <c r="A25" s="109">
        <v>19</v>
      </c>
      <c r="B25" s="110">
        <v>44332</v>
      </c>
      <c r="C25" s="119">
        <v>2798871</v>
      </c>
      <c r="D25" s="120">
        <v>2659873</v>
      </c>
      <c r="E25" s="121">
        <v>95.033783264752117</v>
      </c>
      <c r="F25" s="120">
        <v>2559876</v>
      </c>
      <c r="G25" s="122">
        <v>91.461021247495864</v>
      </c>
      <c r="H25" s="119">
        <v>2079085</v>
      </c>
      <c r="I25" s="120">
        <v>1978745</v>
      </c>
      <c r="J25" s="121">
        <v>95.173838491451761</v>
      </c>
      <c r="K25" s="120">
        <v>1920382</v>
      </c>
      <c r="L25" s="122">
        <v>92.366690154563173</v>
      </c>
      <c r="M25" s="119">
        <v>2872687</v>
      </c>
      <c r="N25" s="120">
        <v>2703145</v>
      </c>
      <c r="O25" s="121">
        <v>94.098138780869618</v>
      </c>
      <c r="P25" s="120">
        <v>2603678</v>
      </c>
      <c r="Q25" s="122">
        <v>90.635631379262691</v>
      </c>
      <c r="R25" s="119">
        <v>2890321</v>
      </c>
      <c r="S25" s="120">
        <v>2646614</v>
      </c>
      <c r="T25" s="121">
        <v>91.568168379913502</v>
      </c>
      <c r="U25" s="120">
        <v>2315680</v>
      </c>
      <c r="V25" s="122">
        <v>80.118436671912903</v>
      </c>
      <c r="W25" s="119">
        <v>3449617</v>
      </c>
      <c r="X25" s="120">
        <v>3061918</v>
      </c>
      <c r="Y25" s="121">
        <v>88.761100145320484</v>
      </c>
      <c r="Z25" s="120">
        <v>1583661</v>
      </c>
      <c r="AA25" s="122">
        <v>45.908313879482854</v>
      </c>
      <c r="AB25" s="119">
        <v>4075327</v>
      </c>
      <c r="AC25" s="120">
        <v>3523154</v>
      </c>
      <c r="AD25" s="121">
        <v>86.450829589870949</v>
      </c>
      <c r="AE25" s="120">
        <v>1383154</v>
      </c>
      <c r="AF25" s="122">
        <v>33.939705942615156</v>
      </c>
      <c r="AG25" s="119">
        <v>4223218</v>
      </c>
      <c r="AH25" s="120">
        <v>3534024</v>
      </c>
      <c r="AI25" s="121">
        <v>83.680832957237826</v>
      </c>
      <c r="AJ25" s="120">
        <v>1180524</v>
      </c>
      <c r="AK25" s="122">
        <v>27.953186409036903</v>
      </c>
      <c r="AL25" s="119">
        <v>3995609</v>
      </c>
      <c r="AM25" s="120">
        <v>3006130</v>
      </c>
      <c r="AN25" s="121">
        <v>75.235840143517549</v>
      </c>
      <c r="AO25" s="120">
        <v>855839</v>
      </c>
      <c r="AP25" s="122">
        <v>21.419488243218993</v>
      </c>
      <c r="AQ25" s="119">
        <v>4119767</v>
      </c>
      <c r="AR25" s="120">
        <v>2643679</v>
      </c>
      <c r="AS25" s="121">
        <v>64.170595084624921</v>
      </c>
      <c r="AT25" s="120">
        <v>699839</v>
      </c>
      <c r="AU25" s="122">
        <v>16.9873441871834</v>
      </c>
      <c r="AV25" s="119">
        <v>31436969</v>
      </c>
      <c r="AW25" s="120">
        <v>4714401</v>
      </c>
      <c r="AX25" s="121">
        <v>14.996359858992767</v>
      </c>
      <c r="AY25" s="120">
        <v>2080127</v>
      </c>
      <c r="AZ25" s="122">
        <v>6.6168179254176822</v>
      </c>
      <c r="BA25" s="119">
        <v>4503633</v>
      </c>
      <c r="BB25" s="120">
        <v>1623888</v>
      </c>
      <c r="BC25" s="121">
        <v>36.05728974807672</v>
      </c>
      <c r="BD25" s="120">
        <v>614314</v>
      </c>
      <c r="BE25" s="122">
        <v>13.640409864658153</v>
      </c>
      <c r="BF25" s="119">
        <v>4741565</v>
      </c>
      <c r="BG25" s="120">
        <v>1207305</v>
      </c>
      <c r="BH25" s="121">
        <v>25.462162809114712</v>
      </c>
      <c r="BI25" s="120">
        <v>552267</v>
      </c>
      <c r="BJ25" s="122">
        <v>11.647356938057371</v>
      </c>
      <c r="BK25" s="119">
        <v>4432950</v>
      </c>
      <c r="BL25" s="120">
        <v>928290</v>
      </c>
      <c r="BM25" s="121">
        <v>20.940682840997528</v>
      </c>
      <c r="BN25" s="120">
        <v>464926</v>
      </c>
      <c r="BO25" s="122">
        <v>10.487959485218648</v>
      </c>
      <c r="BP25" s="119">
        <v>5223481</v>
      </c>
      <c r="BQ25" s="120">
        <v>881081</v>
      </c>
      <c r="BR25" s="121">
        <v>16.867697996795624</v>
      </c>
      <c r="BS25" s="120">
        <v>416790</v>
      </c>
      <c r="BT25" s="122">
        <v>7.9791617888530659</v>
      </c>
      <c r="BU25" s="119">
        <v>12535340</v>
      </c>
      <c r="BV25" s="120">
        <v>73837</v>
      </c>
      <c r="BW25" s="121">
        <v>0.58903069242637218</v>
      </c>
      <c r="BX25" s="120">
        <v>31830</v>
      </c>
      <c r="BY25" s="122">
        <v>0.25392211140663118</v>
      </c>
    </row>
    <row r="26" spans="1:77" ht="15.5" x14ac:dyDescent="0.35">
      <c r="A26" s="109">
        <v>20</v>
      </c>
      <c r="B26" s="110">
        <v>44339</v>
      </c>
      <c r="C26" s="119">
        <v>2798871</v>
      </c>
      <c r="D26" s="120">
        <v>2661072</v>
      </c>
      <c r="E26" s="121">
        <v>95.076621966500056</v>
      </c>
      <c r="F26" s="120">
        <v>2573821</v>
      </c>
      <c r="G26" s="122">
        <v>91.959257857900553</v>
      </c>
      <c r="H26" s="119">
        <v>2079085</v>
      </c>
      <c r="I26" s="120">
        <v>1979812</v>
      </c>
      <c r="J26" s="121">
        <v>95.22515914452751</v>
      </c>
      <c r="K26" s="120">
        <v>1931626</v>
      </c>
      <c r="L26" s="122">
        <v>92.907504984163708</v>
      </c>
      <c r="M26" s="119">
        <v>2872687</v>
      </c>
      <c r="N26" s="120">
        <v>2704899</v>
      </c>
      <c r="O26" s="121">
        <v>94.159196598863716</v>
      </c>
      <c r="P26" s="120">
        <v>2627753</v>
      </c>
      <c r="Q26" s="122">
        <v>91.473696925561327</v>
      </c>
      <c r="R26" s="119">
        <v>2890321</v>
      </c>
      <c r="S26" s="120">
        <v>2650370</v>
      </c>
      <c r="T26" s="121">
        <v>91.69811934383759</v>
      </c>
      <c r="U26" s="120">
        <v>2454181</v>
      </c>
      <c r="V26" s="122">
        <v>84.910326569263418</v>
      </c>
      <c r="W26" s="119">
        <v>3449617</v>
      </c>
      <c r="X26" s="120">
        <v>3071204</v>
      </c>
      <c r="Y26" s="121">
        <v>89.030289449524389</v>
      </c>
      <c r="Z26" s="120">
        <v>2127752</v>
      </c>
      <c r="AA26" s="122">
        <v>61.680818479268865</v>
      </c>
      <c r="AB26" s="119">
        <v>4075327</v>
      </c>
      <c r="AC26" s="120">
        <v>3537904</v>
      </c>
      <c r="AD26" s="121">
        <v>86.812763736505076</v>
      </c>
      <c r="AE26" s="120">
        <v>1795035</v>
      </c>
      <c r="AF26" s="122">
        <v>44.046404129042898</v>
      </c>
      <c r="AG26" s="119">
        <v>4223218</v>
      </c>
      <c r="AH26" s="120">
        <v>3551823</v>
      </c>
      <c r="AI26" s="121">
        <v>84.102288823356972</v>
      </c>
      <c r="AJ26" s="120">
        <v>1624517</v>
      </c>
      <c r="AK26" s="122">
        <v>38.46633065117642</v>
      </c>
      <c r="AL26" s="119">
        <v>3995609</v>
      </c>
      <c r="AM26" s="120">
        <v>3077031</v>
      </c>
      <c r="AN26" s="121">
        <v>77.010313071173883</v>
      </c>
      <c r="AO26" s="120">
        <v>1038209</v>
      </c>
      <c r="AP26" s="122">
        <v>25.983748660091617</v>
      </c>
      <c r="AQ26" s="119">
        <v>4119767</v>
      </c>
      <c r="AR26" s="120">
        <v>2820170</v>
      </c>
      <c r="AS26" s="121">
        <v>68.454599495553992</v>
      </c>
      <c r="AT26" s="120">
        <v>837132</v>
      </c>
      <c r="AU26" s="122">
        <v>20.319887022736964</v>
      </c>
      <c r="AV26" s="119">
        <v>31436969</v>
      </c>
      <c r="AW26" s="120">
        <v>5615908</v>
      </c>
      <c r="AX26" s="121">
        <v>17.864024995539488</v>
      </c>
      <c r="AY26" s="120">
        <v>2431505</v>
      </c>
      <c r="AZ26" s="122">
        <v>7.7345401842016006</v>
      </c>
      <c r="BA26" s="119">
        <v>4503633</v>
      </c>
      <c r="BB26" s="120">
        <v>2177409</v>
      </c>
      <c r="BC26" s="121">
        <v>48.347833848806069</v>
      </c>
      <c r="BD26" s="120">
        <v>728019</v>
      </c>
      <c r="BE26" s="122">
        <v>16.165149336102651</v>
      </c>
      <c r="BF26" s="119">
        <v>4741565</v>
      </c>
      <c r="BG26" s="120">
        <v>1410265</v>
      </c>
      <c r="BH26" s="121">
        <v>29.742606080481863</v>
      </c>
      <c r="BI26" s="120">
        <v>645494</v>
      </c>
      <c r="BJ26" s="122">
        <v>13.613522117697427</v>
      </c>
      <c r="BK26" s="119">
        <v>4432950</v>
      </c>
      <c r="BL26" s="120">
        <v>1003886</v>
      </c>
      <c r="BM26" s="121">
        <v>22.646003225842836</v>
      </c>
      <c r="BN26" s="120">
        <v>535453</v>
      </c>
      <c r="BO26" s="122">
        <v>12.07893163694605</v>
      </c>
      <c r="BP26" s="119">
        <v>5223481</v>
      </c>
      <c r="BQ26" s="120">
        <v>943823</v>
      </c>
      <c r="BR26" s="121">
        <v>18.068851020995385</v>
      </c>
      <c r="BS26" s="120">
        <v>485182</v>
      </c>
      <c r="BT26" s="122">
        <v>9.2884802299462752</v>
      </c>
      <c r="BU26" s="119">
        <v>12535340</v>
      </c>
      <c r="BV26" s="120">
        <v>80525</v>
      </c>
      <c r="BW26" s="121">
        <v>0.64238385237257223</v>
      </c>
      <c r="BX26" s="120">
        <v>37357</v>
      </c>
      <c r="BY26" s="122">
        <v>0.29801345635618981</v>
      </c>
    </row>
    <row r="27" spans="1:77" ht="15.5" x14ac:dyDescent="0.35">
      <c r="A27" s="109">
        <v>21</v>
      </c>
      <c r="B27" s="110">
        <v>44346</v>
      </c>
      <c r="C27" s="119">
        <v>2798871</v>
      </c>
      <c r="D27" s="120">
        <v>2662135</v>
      </c>
      <c r="E27" s="121">
        <v>95.114601566131483</v>
      </c>
      <c r="F27" s="120">
        <v>2584289</v>
      </c>
      <c r="G27" s="122">
        <v>92.333265806105388</v>
      </c>
      <c r="H27" s="119">
        <v>2079085</v>
      </c>
      <c r="I27" s="120">
        <v>1980716</v>
      </c>
      <c r="J27" s="121">
        <v>95.268639810301167</v>
      </c>
      <c r="K27" s="120">
        <v>1939328</v>
      </c>
      <c r="L27" s="122">
        <v>93.277956408708633</v>
      </c>
      <c r="M27" s="119">
        <v>2872687</v>
      </c>
      <c r="N27" s="120">
        <v>2706560</v>
      </c>
      <c r="O27" s="121">
        <v>94.21701702970077</v>
      </c>
      <c r="P27" s="120">
        <v>2642601</v>
      </c>
      <c r="Q27" s="122">
        <v>91.990564931021026</v>
      </c>
      <c r="R27" s="119">
        <v>2890321</v>
      </c>
      <c r="S27" s="120">
        <v>2654274</v>
      </c>
      <c r="T27" s="121">
        <v>91.833190846276253</v>
      </c>
      <c r="U27" s="120">
        <v>2519144</v>
      </c>
      <c r="V27" s="122">
        <v>87.157931593065257</v>
      </c>
      <c r="W27" s="119">
        <v>3449617</v>
      </c>
      <c r="X27" s="120">
        <v>3089698</v>
      </c>
      <c r="Y27" s="121">
        <v>89.566406937349853</v>
      </c>
      <c r="Z27" s="120">
        <v>2592442</v>
      </c>
      <c r="AA27" s="122">
        <v>75.151589292376514</v>
      </c>
      <c r="AB27" s="119">
        <v>4075327</v>
      </c>
      <c r="AC27" s="120">
        <v>3559115</v>
      </c>
      <c r="AD27" s="121">
        <v>87.33323730831907</v>
      </c>
      <c r="AE27" s="120">
        <v>2286775</v>
      </c>
      <c r="AF27" s="122">
        <v>56.112675130118397</v>
      </c>
      <c r="AG27" s="119">
        <v>4223218</v>
      </c>
      <c r="AH27" s="120">
        <v>3567770</v>
      </c>
      <c r="AI27" s="121">
        <v>84.47989187392173</v>
      </c>
      <c r="AJ27" s="120">
        <v>2168360</v>
      </c>
      <c r="AK27" s="122">
        <v>51.343785710328007</v>
      </c>
      <c r="AL27" s="119">
        <v>3995609</v>
      </c>
      <c r="AM27" s="120">
        <v>3119010</v>
      </c>
      <c r="AN27" s="121">
        <v>78.060941398420113</v>
      </c>
      <c r="AO27" s="120">
        <v>1234585</v>
      </c>
      <c r="AP27" s="122">
        <v>30.898543876540472</v>
      </c>
      <c r="AQ27" s="119">
        <v>4119767</v>
      </c>
      <c r="AR27" s="120">
        <v>2906129</v>
      </c>
      <c r="AS27" s="121">
        <v>70.541100989449163</v>
      </c>
      <c r="AT27" s="120">
        <v>965050</v>
      </c>
      <c r="AU27" s="122">
        <v>23.424868445230036</v>
      </c>
      <c r="AV27" s="119">
        <v>31436969</v>
      </c>
      <c r="AW27" s="120">
        <v>6553210</v>
      </c>
      <c r="AX27" s="121">
        <v>20.845552890292954</v>
      </c>
      <c r="AY27" s="120">
        <v>2738956</v>
      </c>
      <c r="AZ27" s="122">
        <v>8.7125320510383819</v>
      </c>
      <c r="BA27" s="119">
        <v>4503633</v>
      </c>
      <c r="BB27" s="120">
        <v>2562733</v>
      </c>
      <c r="BC27" s="121">
        <v>56.903681982967967</v>
      </c>
      <c r="BD27" s="120">
        <v>824042</v>
      </c>
      <c r="BE27" s="122">
        <v>18.297272446489313</v>
      </c>
      <c r="BF27" s="119">
        <v>4741565</v>
      </c>
      <c r="BG27" s="120">
        <v>1818674</v>
      </c>
      <c r="BH27" s="121">
        <v>38.355985840118187</v>
      </c>
      <c r="BI27" s="120">
        <v>725789</v>
      </c>
      <c r="BJ27" s="122">
        <v>15.306950342344775</v>
      </c>
      <c r="BK27" s="119">
        <v>4432950</v>
      </c>
      <c r="BL27" s="120">
        <v>1084686</v>
      </c>
      <c r="BM27" s="121">
        <v>24.46871721990999</v>
      </c>
      <c r="BN27" s="120">
        <v>598054</v>
      </c>
      <c r="BO27" s="122">
        <v>13.491106373859393</v>
      </c>
      <c r="BP27" s="119">
        <v>5223481</v>
      </c>
      <c r="BQ27" s="120">
        <v>1001921</v>
      </c>
      <c r="BR27" s="121">
        <v>19.181097815805206</v>
      </c>
      <c r="BS27" s="120">
        <v>548995</v>
      </c>
      <c r="BT27" s="122">
        <v>10.510136822551857</v>
      </c>
      <c r="BU27" s="119">
        <v>12535340</v>
      </c>
      <c r="BV27" s="120">
        <v>85196</v>
      </c>
      <c r="BW27" s="121">
        <v>0.67964650340557176</v>
      </c>
      <c r="BX27" s="120">
        <v>42076</v>
      </c>
      <c r="BY27" s="122">
        <v>0.33565902480507109</v>
      </c>
    </row>
    <row r="28" spans="1:77" ht="15.5" x14ac:dyDescent="0.35">
      <c r="A28" s="109">
        <v>22</v>
      </c>
      <c r="B28" s="110">
        <v>44353</v>
      </c>
      <c r="C28" s="119">
        <v>2798871</v>
      </c>
      <c r="D28" s="120">
        <v>2662889</v>
      </c>
      <c r="E28" s="121">
        <v>95.141540999924615</v>
      </c>
      <c r="F28" s="120">
        <v>2590178</v>
      </c>
      <c r="G28" s="122">
        <v>92.543672073489631</v>
      </c>
      <c r="H28" s="119">
        <v>2079085</v>
      </c>
      <c r="I28" s="120">
        <v>1981293</v>
      </c>
      <c r="J28" s="121">
        <v>95.296392403388978</v>
      </c>
      <c r="K28" s="120">
        <v>1943923</v>
      </c>
      <c r="L28" s="122">
        <v>93.498967093697473</v>
      </c>
      <c r="M28" s="119">
        <v>2872687</v>
      </c>
      <c r="N28" s="120">
        <v>2707667</v>
      </c>
      <c r="O28" s="121">
        <v>94.255552380053928</v>
      </c>
      <c r="P28" s="120">
        <v>2651238</v>
      </c>
      <c r="Q28" s="122">
        <v>92.291224209250771</v>
      </c>
      <c r="R28" s="119">
        <v>2890321</v>
      </c>
      <c r="S28" s="120">
        <v>2656484</v>
      </c>
      <c r="T28" s="121">
        <v>91.909652941662884</v>
      </c>
      <c r="U28" s="120">
        <v>2553911</v>
      </c>
      <c r="V28" s="122">
        <v>88.36080836695993</v>
      </c>
      <c r="W28" s="119">
        <v>3449617</v>
      </c>
      <c r="X28" s="120">
        <v>3096731</v>
      </c>
      <c r="Y28" s="121">
        <v>89.770284643193719</v>
      </c>
      <c r="Z28" s="120">
        <v>2818228</v>
      </c>
      <c r="AA28" s="122">
        <v>81.696837648933197</v>
      </c>
      <c r="AB28" s="119">
        <v>4075327</v>
      </c>
      <c r="AC28" s="120">
        <v>3568825</v>
      </c>
      <c r="AD28" s="121">
        <v>87.571500397391418</v>
      </c>
      <c r="AE28" s="120">
        <v>2853135</v>
      </c>
      <c r="AF28" s="122">
        <v>70.009964844538857</v>
      </c>
      <c r="AG28" s="119">
        <v>4223218</v>
      </c>
      <c r="AH28" s="120">
        <v>3577714</v>
      </c>
      <c r="AI28" s="121">
        <v>84.715352131952457</v>
      </c>
      <c r="AJ28" s="120">
        <v>2665023</v>
      </c>
      <c r="AK28" s="122">
        <v>63.104083189643532</v>
      </c>
      <c r="AL28" s="119">
        <v>3995609</v>
      </c>
      <c r="AM28" s="120">
        <v>3141298</v>
      </c>
      <c r="AN28" s="121">
        <v>78.618753736914698</v>
      </c>
      <c r="AO28" s="120">
        <v>1445534</v>
      </c>
      <c r="AP28" s="122">
        <v>36.17806447027224</v>
      </c>
      <c r="AQ28" s="119">
        <v>4119767</v>
      </c>
      <c r="AR28" s="120">
        <v>2943982</v>
      </c>
      <c r="AS28" s="121">
        <v>71.459915087430915</v>
      </c>
      <c r="AT28" s="120">
        <v>1099440</v>
      </c>
      <c r="AU28" s="122">
        <v>26.686946130691368</v>
      </c>
      <c r="AV28" s="119">
        <v>31436969</v>
      </c>
      <c r="AW28" s="120">
        <v>7320630</v>
      </c>
      <c r="AX28" s="121">
        <v>23.286691538233217</v>
      </c>
      <c r="AY28" s="120">
        <v>3023980</v>
      </c>
      <c r="AZ28" s="122">
        <v>9.6191843431216277</v>
      </c>
      <c r="BA28" s="119">
        <v>4503633</v>
      </c>
      <c r="BB28" s="120">
        <v>2710374</v>
      </c>
      <c r="BC28" s="121">
        <v>60.1819464419059</v>
      </c>
      <c r="BD28" s="120">
        <v>910779</v>
      </c>
      <c r="BE28" s="122">
        <v>20.223206464647543</v>
      </c>
      <c r="BF28" s="119">
        <v>4741565</v>
      </c>
      <c r="BG28" s="120">
        <v>2228047</v>
      </c>
      <c r="BH28" s="121">
        <v>46.989696439888519</v>
      </c>
      <c r="BI28" s="120">
        <v>801063</v>
      </c>
      <c r="BJ28" s="122">
        <v>16.894485259613649</v>
      </c>
      <c r="BK28" s="119">
        <v>4432950</v>
      </c>
      <c r="BL28" s="120">
        <v>1200962</v>
      </c>
      <c r="BM28" s="121">
        <v>27.091710937411882</v>
      </c>
      <c r="BN28" s="120">
        <v>657057</v>
      </c>
      <c r="BO28" s="122">
        <v>14.82211619801712</v>
      </c>
      <c r="BP28" s="119">
        <v>5223481</v>
      </c>
      <c r="BQ28" s="120">
        <v>1089535</v>
      </c>
      <c r="BR28" s="121">
        <v>20.858408406195025</v>
      </c>
      <c r="BS28" s="120">
        <v>609472</v>
      </c>
      <c r="BT28" s="122">
        <v>11.66792795838637</v>
      </c>
      <c r="BU28" s="119">
        <v>12535340</v>
      </c>
      <c r="BV28" s="120">
        <v>91712</v>
      </c>
      <c r="BW28" s="121">
        <v>0.73162754261152874</v>
      </c>
      <c r="BX28" s="120">
        <v>45609</v>
      </c>
      <c r="BY28" s="122">
        <v>0.36384334210320579</v>
      </c>
    </row>
    <row r="29" spans="1:77" ht="15.5" x14ac:dyDescent="0.35">
      <c r="A29" s="109">
        <v>23</v>
      </c>
      <c r="B29" s="110">
        <v>44360</v>
      </c>
      <c r="C29" s="119">
        <v>2798871</v>
      </c>
      <c r="D29" s="120">
        <v>2663702</v>
      </c>
      <c r="E29" s="121">
        <v>95.17058842654771</v>
      </c>
      <c r="F29" s="120">
        <v>2596077</v>
      </c>
      <c r="G29" s="122">
        <v>92.754435627794209</v>
      </c>
      <c r="H29" s="119">
        <v>2079085</v>
      </c>
      <c r="I29" s="120">
        <v>1981986</v>
      </c>
      <c r="J29" s="121">
        <v>95.32972437394335</v>
      </c>
      <c r="K29" s="120">
        <v>1948224</v>
      </c>
      <c r="L29" s="122">
        <v>93.705836942693537</v>
      </c>
      <c r="M29" s="119">
        <v>2872687</v>
      </c>
      <c r="N29" s="120">
        <v>2708866</v>
      </c>
      <c r="O29" s="121">
        <v>94.297290306949549</v>
      </c>
      <c r="P29" s="120">
        <v>2658737</v>
      </c>
      <c r="Q29" s="122">
        <v>92.552269008075015</v>
      </c>
      <c r="R29" s="119">
        <v>2890321</v>
      </c>
      <c r="S29" s="120">
        <v>2658542</v>
      </c>
      <c r="T29" s="121">
        <v>91.980856105602115</v>
      </c>
      <c r="U29" s="120">
        <v>2577306</v>
      </c>
      <c r="V29" s="122">
        <v>89.170234032828873</v>
      </c>
      <c r="W29" s="119">
        <v>3449617</v>
      </c>
      <c r="X29" s="120">
        <v>3100544</v>
      </c>
      <c r="Y29" s="121">
        <v>89.880818653201217</v>
      </c>
      <c r="Z29" s="120">
        <v>2922675</v>
      </c>
      <c r="AA29" s="122">
        <v>84.72462305235625</v>
      </c>
      <c r="AB29" s="119">
        <v>4075327</v>
      </c>
      <c r="AC29" s="120">
        <v>3575853</v>
      </c>
      <c r="AD29" s="121">
        <v>87.743952816546994</v>
      </c>
      <c r="AE29" s="120">
        <v>3218174</v>
      </c>
      <c r="AF29" s="122">
        <v>78.967258332889614</v>
      </c>
      <c r="AG29" s="119">
        <v>4223218</v>
      </c>
      <c r="AH29" s="120">
        <v>3587109</v>
      </c>
      <c r="AI29" s="121">
        <v>84.937812824249178</v>
      </c>
      <c r="AJ29" s="120">
        <v>3085524</v>
      </c>
      <c r="AK29" s="122">
        <v>73.060969147223759</v>
      </c>
      <c r="AL29" s="119">
        <v>3995609</v>
      </c>
      <c r="AM29" s="120">
        <v>3162058</v>
      </c>
      <c r="AN29" s="121">
        <v>79.138324095275593</v>
      </c>
      <c r="AO29" s="120">
        <v>1694034</v>
      </c>
      <c r="AP29" s="122">
        <v>42.397391736779049</v>
      </c>
      <c r="AQ29" s="119">
        <v>4119767</v>
      </c>
      <c r="AR29" s="120">
        <v>2978104</v>
      </c>
      <c r="AS29" s="121">
        <v>72.288165811318933</v>
      </c>
      <c r="AT29" s="120">
        <v>1262143</v>
      </c>
      <c r="AU29" s="122">
        <v>30.636271420204103</v>
      </c>
      <c r="AV29" s="119">
        <v>31436969</v>
      </c>
      <c r="AW29" s="120">
        <v>8286467</v>
      </c>
      <c r="AX29" s="121">
        <v>26.358988361759682</v>
      </c>
      <c r="AY29" s="120">
        <v>3345034</v>
      </c>
      <c r="AZ29" s="122">
        <v>10.64044692094839</v>
      </c>
      <c r="BA29" s="119">
        <v>4503633</v>
      </c>
      <c r="BB29" s="120">
        <v>2836987</v>
      </c>
      <c r="BC29" s="121">
        <v>62.993298965524062</v>
      </c>
      <c r="BD29" s="120">
        <v>1012579</v>
      </c>
      <c r="BE29" s="122">
        <v>22.483603792760203</v>
      </c>
      <c r="BF29" s="119">
        <v>4741565</v>
      </c>
      <c r="BG29" s="120">
        <v>2546013</v>
      </c>
      <c r="BH29" s="121">
        <v>53.695625811309135</v>
      </c>
      <c r="BI29" s="120">
        <v>884958</v>
      </c>
      <c r="BJ29" s="122">
        <v>18.663837783516623</v>
      </c>
      <c r="BK29" s="119">
        <v>4432950</v>
      </c>
      <c r="BL29" s="120">
        <v>1556478</v>
      </c>
      <c r="BM29" s="121">
        <v>35.111562277941324</v>
      </c>
      <c r="BN29" s="120">
        <v>721629</v>
      </c>
      <c r="BO29" s="122">
        <v>16.278753426048116</v>
      </c>
      <c r="BP29" s="119">
        <v>5223481</v>
      </c>
      <c r="BQ29" s="120">
        <v>1246538</v>
      </c>
      <c r="BR29" s="121">
        <v>23.864124326287396</v>
      </c>
      <c r="BS29" s="120">
        <v>675116</v>
      </c>
      <c r="BT29" s="122">
        <v>12.924637803794059</v>
      </c>
      <c r="BU29" s="119">
        <v>12535340</v>
      </c>
      <c r="BV29" s="120">
        <v>100451</v>
      </c>
      <c r="BW29" s="121">
        <v>0.8013424446405123</v>
      </c>
      <c r="BX29" s="120">
        <v>50752</v>
      </c>
      <c r="BY29" s="122">
        <v>0.40487134772570993</v>
      </c>
    </row>
    <row r="30" spans="1:77" ht="15.5" x14ac:dyDescent="0.35">
      <c r="A30" s="109">
        <v>24</v>
      </c>
      <c r="B30" s="110">
        <v>44367</v>
      </c>
      <c r="C30" s="119">
        <v>2798871</v>
      </c>
      <c r="D30" s="120">
        <v>2664443</v>
      </c>
      <c r="E30" s="121">
        <v>95.1970633873444</v>
      </c>
      <c r="F30" s="120">
        <v>2600502</v>
      </c>
      <c r="G30" s="122">
        <v>92.912535090041658</v>
      </c>
      <c r="H30" s="119">
        <v>2079085</v>
      </c>
      <c r="I30" s="120">
        <v>1982615</v>
      </c>
      <c r="J30" s="121">
        <v>95.359978067274781</v>
      </c>
      <c r="K30" s="120">
        <v>1951391</v>
      </c>
      <c r="L30" s="122">
        <v>93.858163567146121</v>
      </c>
      <c r="M30" s="119">
        <v>2872687</v>
      </c>
      <c r="N30" s="120">
        <v>2709956</v>
      </c>
      <c r="O30" s="121">
        <v>94.335233876854659</v>
      </c>
      <c r="P30" s="120">
        <v>2664114</v>
      </c>
      <c r="Q30" s="122">
        <v>92.739445682735365</v>
      </c>
      <c r="R30" s="119">
        <v>2890321</v>
      </c>
      <c r="S30" s="120">
        <v>2660348</v>
      </c>
      <c r="T30" s="121">
        <v>92.043340514773277</v>
      </c>
      <c r="U30" s="120">
        <v>2590978</v>
      </c>
      <c r="V30" s="122">
        <v>89.643261077229823</v>
      </c>
      <c r="W30" s="119">
        <v>3449617</v>
      </c>
      <c r="X30" s="120">
        <v>3104026</v>
      </c>
      <c r="Y30" s="121">
        <v>89.981757395096324</v>
      </c>
      <c r="Z30" s="120">
        <v>2965047</v>
      </c>
      <c r="AA30" s="122">
        <v>85.952933325641652</v>
      </c>
      <c r="AB30" s="119">
        <v>4075327</v>
      </c>
      <c r="AC30" s="120">
        <v>3582292</v>
      </c>
      <c r="AD30" s="121">
        <v>87.901952407745441</v>
      </c>
      <c r="AE30" s="120">
        <v>3354564</v>
      </c>
      <c r="AF30" s="122">
        <v>82.313983638613536</v>
      </c>
      <c r="AG30" s="119">
        <v>4223218</v>
      </c>
      <c r="AH30" s="120">
        <v>3595859</v>
      </c>
      <c r="AI30" s="121">
        <v>85.145000802705425</v>
      </c>
      <c r="AJ30" s="120">
        <v>3297407</v>
      </c>
      <c r="AK30" s="122">
        <v>78.078067483137275</v>
      </c>
      <c r="AL30" s="119">
        <v>3995609</v>
      </c>
      <c r="AM30" s="120">
        <v>3180734</v>
      </c>
      <c r="AN30" s="121">
        <v>79.605737198009123</v>
      </c>
      <c r="AO30" s="120">
        <v>1938791</v>
      </c>
      <c r="AP30" s="122">
        <v>48.52304116844266</v>
      </c>
      <c r="AQ30" s="119">
        <v>4119767</v>
      </c>
      <c r="AR30" s="120">
        <v>3007163</v>
      </c>
      <c r="AS30" s="121">
        <v>72.9935212355456</v>
      </c>
      <c r="AT30" s="120">
        <v>1425323</v>
      </c>
      <c r="AU30" s="122">
        <v>34.597175034413354</v>
      </c>
      <c r="AV30" s="119">
        <v>31436969</v>
      </c>
      <c r="AW30" s="120">
        <v>9455548</v>
      </c>
      <c r="AX30" s="121">
        <v>30.077797894574378</v>
      </c>
      <c r="AY30" s="120">
        <v>3645861</v>
      </c>
      <c r="AZ30" s="122">
        <v>11.597368054153058</v>
      </c>
      <c r="BA30" s="119">
        <v>4503633</v>
      </c>
      <c r="BB30" s="120">
        <v>2918044</v>
      </c>
      <c r="BC30" s="121">
        <v>64.793112582663809</v>
      </c>
      <c r="BD30" s="120">
        <v>1115078</v>
      </c>
      <c r="BE30" s="122">
        <v>24.759521923744675</v>
      </c>
      <c r="BF30" s="119">
        <v>4741565</v>
      </c>
      <c r="BG30" s="120">
        <v>2721973</v>
      </c>
      <c r="BH30" s="121">
        <v>57.406636838259097</v>
      </c>
      <c r="BI30" s="120">
        <v>962623</v>
      </c>
      <c r="BJ30" s="122">
        <v>20.301799089541113</v>
      </c>
      <c r="BK30" s="119">
        <v>4432950</v>
      </c>
      <c r="BL30" s="120">
        <v>2017871</v>
      </c>
      <c r="BM30" s="121">
        <v>45.519823142602554</v>
      </c>
      <c r="BN30" s="120">
        <v>778367</v>
      </c>
      <c r="BO30" s="122">
        <v>17.558668606684037</v>
      </c>
      <c r="BP30" s="119">
        <v>5223481</v>
      </c>
      <c r="BQ30" s="120">
        <v>1680630</v>
      </c>
      <c r="BR30" s="121">
        <v>32.174521167014866</v>
      </c>
      <c r="BS30" s="120">
        <v>734470</v>
      </c>
      <c r="BT30" s="122">
        <v>14.060929866500901</v>
      </c>
      <c r="BU30" s="119">
        <v>12535340</v>
      </c>
      <c r="BV30" s="120">
        <v>117030</v>
      </c>
      <c r="BW30" s="121">
        <v>0.93360052459685972</v>
      </c>
      <c r="BX30" s="120">
        <v>55323</v>
      </c>
      <c r="BY30" s="122">
        <v>0.44133625414228889</v>
      </c>
    </row>
    <row r="31" spans="1:77" ht="15.5" x14ac:dyDescent="0.35">
      <c r="A31" s="109">
        <v>25</v>
      </c>
      <c r="B31" s="110">
        <v>44374</v>
      </c>
      <c r="C31" s="119">
        <v>2798871</v>
      </c>
      <c r="D31" s="120">
        <v>2665083</v>
      </c>
      <c r="E31" s="121">
        <v>95.219929750245726</v>
      </c>
      <c r="F31" s="120">
        <v>2603602</v>
      </c>
      <c r="G31" s="122">
        <v>93.023294035344961</v>
      </c>
      <c r="H31" s="119">
        <v>2079085</v>
      </c>
      <c r="I31" s="120">
        <v>1983178</v>
      </c>
      <c r="J31" s="121">
        <v>95.387057287220102</v>
      </c>
      <c r="K31" s="120">
        <v>1953658</v>
      </c>
      <c r="L31" s="122">
        <v>93.967201918151503</v>
      </c>
      <c r="M31" s="119">
        <v>2872687</v>
      </c>
      <c r="N31" s="120">
        <v>2710955</v>
      </c>
      <c r="O31" s="121">
        <v>94.370009680831927</v>
      </c>
      <c r="P31" s="120">
        <v>2667702</v>
      </c>
      <c r="Q31" s="122">
        <v>92.864346167890901</v>
      </c>
      <c r="R31" s="119">
        <v>2890321</v>
      </c>
      <c r="S31" s="120">
        <v>2662198</v>
      </c>
      <c r="T31" s="121">
        <v>92.107347246205535</v>
      </c>
      <c r="U31" s="120">
        <v>2599007</v>
      </c>
      <c r="V31" s="122">
        <v>89.921050291645813</v>
      </c>
      <c r="W31" s="119">
        <v>3449617</v>
      </c>
      <c r="X31" s="120">
        <v>3107440</v>
      </c>
      <c r="Y31" s="121">
        <v>90.080724903663224</v>
      </c>
      <c r="Z31" s="120">
        <v>2984640</v>
      </c>
      <c r="AA31" s="122">
        <v>86.520909422698239</v>
      </c>
      <c r="AB31" s="119">
        <v>4075327</v>
      </c>
      <c r="AC31" s="120">
        <v>3588506</v>
      </c>
      <c r="AD31" s="121">
        <v>88.054430969588452</v>
      </c>
      <c r="AE31" s="120">
        <v>3400460</v>
      </c>
      <c r="AF31" s="122">
        <v>83.440175475489454</v>
      </c>
      <c r="AG31" s="119">
        <v>4223218</v>
      </c>
      <c r="AH31" s="120">
        <v>3604789</v>
      </c>
      <c r="AI31" s="121">
        <v>85.356450933861339</v>
      </c>
      <c r="AJ31" s="120">
        <v>3366811</v>
      </c>
      <c r="AK31" s="122">
        <v>79.721458849626046</v>
      </c>
      <c r="AL31" s="119">
        <v>3995609</v>
      </c>
      <c r="AM31" s="120">
        <v>3198326</v>
      </c>
      <c r="AN31" s="121">
        <v>80.046020519024765</v>
      </c>
      <c r="AO31" s="120">
        <v>2205826</v>
      </c>
      <c r="AP31" s="122">
        <v>55.206252663861754</v>
      </c>
      <c r="AQ31" s="119">
        <v>4119767</v>
      </c>
      <c r="AR31" s="120">
        <v>3033043</v>
      </c>
      <c r="AS31" s="121">
        <v>73.621712101679535</v>
      </c>
      <c r="AT31" s="120">
        <v>1634522</v>
      </c>
      <c r="AU31" s="122">
        <v>39.675107839836571</v>
      </c>
      <c r="AV31" s="119">
        <v>31436969</v>
      </c>
      <c r="AW31" s="120">
        <v>10549992</v>
      </c>
      <c r="AX31" s="121">
        <v>33.559189500743535</v>
      </c>
      <c r="AY31" s="120">
        <v>3886282</v>
      </c>
      <c r="AZ31" s="122">
        <v>12.362139619757871</v>
      </c>
      <c r="BA31" s="119">
        <v>4503633</v>
      </c>
      <c r="BB31" s="120">
        <v>2975182</v>
      </c>
      <c r="BC31" s="121">
        <v>66.061821644880922</v>
      </c>
      <c r="BD31" s="120">
        <v>1210116</v>
      </c>
      <c r="BE31" s="122">
        <v>26.869773802616688</v>
      </c>
      <c r="BF31" s="119">
        <v>4741565</v>
      </c>
      <c r="BG31" s="120">
        <v>2820556</v>
      </c>
      <c r="BH31" s="121">
        <v>59.485760503125022</v>
      </c>
      <c r="BI31" s="120">
        <v>1029478</v>
      </c>
      <c r="BJ31" s="122">
        <v>21.711776596967457</v>
      </c>
      <c r="BK31" s="119">
        <v>4432950</v>
      </c>
      <c r="BL31" s="120">
        <v>2323402</v>
      </c>
      <c r="BM31" s="121">
        <v>52.412095782718062</v>
      </c>
      <c r="BN31" s="120">
        <v>813897</v>
      </c>
      <c r="BO31" s="122">
        <v>18.360166480560348</v>
      </c>
      <c r="BP31" s="119">
        <v>5223481</v>
      </c>
      <c r="BQ31" s="120">
        <v>2283067</v>
      </c>
      <c r="BR31" s="121">
        <v>43.707768823127715</v>
      </c>
      <c r="BS31" s="120">
        <v>772878</v>
      </c>
      <c r="BT31" s="122">
        <v>14.796224969517455</v>
      </c>
      <c r="BU31" s="119">
        <v>12535340</v>
      </c>
      <c r="BV31" s="120">
        <v>147785</v>
      </c>
      <c r="BW31" s="121">
        <v>1.178946881376971</v>
      </c>
      <c r="BX31" s="120">
        <v>59913</v>
      </c>
      <c r="BY31" s="122">
        <v>0.47795273203598787</v>
      </c>
    </row>
    <row r="32" spans="1:77" s="86" customFormat="1" ht="16" thickBot="1" x14ac:dyDescent="0.4">
      <c r="A32" s="124">
        <v>26</v>
      </c>
      <c r="B32" s="125">
        <v>44381</v>
      </c>
      <c r="C32" s="126">
        <v>2798871</v>
      </c>
      <c r="D32" s="127">
        <v>2665589</v>
      </c>
      <c r="E32" s="128">
        <v>95.238008468414577</v>
      </c>
      <c r="F32" s="127">
        <v>2605856</v>
      </c>
      <c r="G32" s="129">
        <v>93.103826507188074</v>
      </c>
      <c r="H32" s="126">
        <v>2079085</v>
      </c>
      <c r="I32" s="127">
        <v>1983649</v>
      </c>
      <c r="J32" s="128">
        <v>95.409711483657475</v>
      </c>
      <c r="K32" s="127">
        <v>1955218</v>
      </c>
      <c r="L32" s="129">
        <v>94.042234925459994</v>
      </c>
      <c r="M32" s="126">
        <v>2872687</v>
      </c>
      <c r="N32" s="127">
        <v>2711771</v>
      </c>
      <c r="O32" s="128">
        <v>94.398415142338862</v>
      </c>
      <c r="P32" s="127">
        <v>2670387</v>
      </c>
      <c r="Q32" s="129">
        <v>92.957812668069991</v>
      </c>
      <c r="R32" s="126">
        <v>2890321</v>
      </c>
      <c r="S32" s="127">
        <v>2663699</v>
      </c>
      <c r="T32" s="128">
        <v>92.159279194248668</v>
      </c>
      <c r="U32" s="127">
        <v>2604346</v>
      </c>
      <c r="V32" s="129">
        <v>90.105770258735959</v>
      </c>
      <c r="W32" s="126">
        <v>3449617</v>
      </c>
      <c r="X32" s="127">
        <v>3110175</v>
      </c>
      <c r="Y32" s="128">
        <v>90.160009067673315</v>
      </c>
      <c r="Z32" s="127">
        <v>2995691</v>
      </c>
      <c r="AA32" s="129">
        <v>86.841263827259667</v>
      </c>
      <c r="AB32" s="126">
        <v>4075327</v>
      </c>
      <c r="AC32" s="127">
        <v>3593404</v>
      </c>
      <c r="AD32" s="128">
        <v>88.174617644179236</v>
      </c>
      <c r="AE32" s="127">
        <v>3421741</v>
      </c>
      <c r="AF32" s="129">
        <v>83.962366700880693</v>
      </c>
      <c r="AG32" s="126">
        <v>4223218</v>
      </c>
      <c r="AH32" s="127">
        <v>3611929</v>
      </c>
      <c r="AI32" s="128">
        <v>85.525516324281625</v>
      </c>
      <c r="AJ32" s="127">
        <v>3400161</v>
      </c>
      <c r="AK32" s="129">
        <v>80.51114103037068</v>
      </c>
      <c r="AL32" s="126">
        <v>3995609</v>
      </c>
      <c r="AM32" s="127">
        <v>3211192</v>
      </c>
      <c r="AN32" s="128">
        <v>80.368023998344185</v>
      </c>
      <c r="AO32" s="127">
        <v>2474388</v>
      </c>
      <c r="AP32" s="129">
        <v>61.927681111940636</v>
      </c>
      <c r="AQ32" s="126">
        <v>4119767</v>
      </c>
      <c r="AR32" s="127">
        <v>3051866</v>
      </c>
      <c r="AS32" s="128">
        <v>74.078606872670221</v>
      </c>
      <c r="AT32" s="127">
        <v>1924660</v>
      </c>
      <c r="AU32" s="129">
        <v>46.717690587841496</v>
      </c>
      <c r="AV32" s="126">
        <v>31436969</v>
      </c>
      <c r="AW32" s="127">
        <v>11226867</v>
      </c>
      <c r="AX32" s="128">
        <v>35.712307379251477</v>
      </c>
      <c r="AY32" s="127">
        <v>4123211</v>
      </c>
      <c r="AZ32" s="129">
        <v>13.115803244263146</v>
      </c>
      <c r="BA32" s="126">
        <v>4503633</v>
      </c>
      <c r="BB32" s="127">
        <v>3015270</v>
      </c>
      <c r="BC32" s="128">
        <v>66.95194746108308</v>
      </c>
      <c r="BD32" s="127">
        <v>1314351</v>
      </c>
      <c r="BE32" s="129">
        <v>29.184238591377227</v>
      </c>
      <c r="BF32" s="126">
        <v>4741565</v>
      </c>
      <c r="BG32" s="127">
        <v>2885093</v>
      </c>
      <c r="BH32" s="128">
        <v>60.846851197863991</v>
      </c>
      <c r="BI32" s="127">
        <v>1094264</v>
      </c>
      <c r="BJ32" s="129">
        <v>23.078118722404945</v>
      </c>
      <c r="BK32" s="126">
        <v>4432950</v>
      </c>
      <c r="BL32" s="127">
        <v>2463256</v>
      </c>
      <c r="BM32" s="128">
        <v>55.566970076359986</v>
      </c>
      <c r="BN32" s="127">
        <v>846349</v>
      </c>
      <c r="BO32" s="129">
        <v>19.092229779266628</v>
      </c>
      <c r="BP32" s="126">
        <v>5223481</v>
      </c>
      <c r="BQ32" s="127">
        <v>2690056</v>
      </c>
      <c r="BR32" s="128">
        <v>51.499297116233414</v>
      </c>
      <c r="BS32" s="127">
        <v>803967</v>
      </c>
      <c r="BT32" s="129">
        <v>15.391402782933451</v>
      </c>
      <c r="BU32" s="126">
        <v>12535340</v>
      </c>
      <c r="BV32" s="127">
        <v>173192</v>
      </c>
      <c r="BW32" s="128">
        <v>1.3816298560709162</v>
      </c>
      <c r="BX32" s="127">
        <v>64280</v>
      </c>
      <c r="BY32" s="129">
        <v>0.51279023943506918</v>
      </c>
    </row>
    <row r="34" spans="1:10" x14ac:dyDescent="0.35">
      <c r="A34" s="1"/>
      <c r="B34" s="82" t="s">
        <v>104</v>
      </c>
      <c r="C34" s="82" t="s">
        <v>172</v>
      </c>
      <c r="D34" s="82"/>
      <c r="E34" s="82" t="s">
        <v>106</v>
      </c>
      <c r="F34" s="82" t="s">
        <v>103</v>
      </c>
      <c r="G34" s="82" t="s">
        <v>7</v>
      </c>
      <c r="H34" s="82" t="s">
        <v>173</v>
      </c>
      <c r="I34" s="82" t="s">
        <v>174</v>
      </c>
      <c r="J34" s="82" t="s">
        <v>175</v>
      </c>
    </row>
    <row r="35" spans="1:10" x14ac:dyDescent="0.35">
      <c r="A35" s="1" t="s">
        <v>261</v>
      </c>
      <c r="B35">
        <v>10</v>
      </c>
      <c r="C35" s="123">
        <f>BU32</f>
        <v>12535340</v>
      </c>
      <c r="D35" s="123">
        <f>BV32</f>
        <v>173192</v>
      </c>
      <c r="E35" s="123">
        <f t="shared" ref="E35:E47" si="0">D35-F35</f>
        <v>108912</v>
      </c>
      <c r="F35" s="123">
        <f>BX32</f>
        <v>64280</v>
      </c>
      <c r="G35" s="123">
        <f>C35-E35-F35</f>
        <v>12362148</v>
      </c>
      <c r="H35" s="130">
        <f t="shared" ref="H35:H48" si="1">(D35-F35)/C35</f>
        <v>8.6883961663584714E-3</v>
      </c>
      <c r="I35" s="130">
        <f t="shared" ref="I35:I48" si="2">F35/C35</f>
        <v>5.127902394350692E-3</v>
      </c>
      <c r="J35" s="130">
        <f t="shared" ref="J35:J48" si="3">1-H35-I35</f>
        <v>0.98618370143929079</v>
      </c>
    </row>
    <row r="36" spans="1:10" x14ac:dyDescent="0.35">
      <c r="A36" s="1" t="s">
        <v>260</v>
      </c>
      <c r="B36">
        <v>21</v>
      </c>
      <c r="C36" s="123">
        <f>BP32</f>
        <v>5223481</v>
      </c>
      <c r="D36" s="123">
        <f>BQ32</f>
        <v>2690056</v>
      </c>
      <c r="E36" s="123">
        <f t="shared" si="0"/>
        <v>1886089</v>
      </c>
      <c r="F36" s="123">
        <f>BS32</f>
        <v>803967</v>
      </c>
      <c r="G36" s="123">
        <f t="shared" ref="G36:G48" si="4">C36-E36-F36</f>
        <v>2533425</v>
      </c>
      <c r="H36" s="130">
        <f t="shared" si="1"/>
        <v>0.36107894333299956</v>
      </c>
      <c r="I36" s="130">
        <f t="shared" si="2"/>
        <v>0.1539140278293345</v>
      </c>
      <c r="J36" s="130">
        <f t="shared" si="3"/>
        <v>0.485007028837666</v>
      </c>
    </row>
    <row r="37" spans="1:10" x14ac:dyDescent="0.35">
      <c r="A37" s="1" t="s">
        <v>117</v>
      </c>
      <c r="B37">
        <v>27</v>
      </c>
      <c r="C37" s="123">
        <f>BK32</f>
        <v>4432950</v>
      </c>
      <c r="D37" s="123">
        <f>BL32</f>
        <v>2463256</v>
      </c>
      <c r="E37" s="123">
        <f t="shared" si="0"/>
        <v>1616907</v>
      </c>
      <c r="F37" s="123">
        <f>BN32</f>
        <v>846349</v>
      </c>
      <c r="G37" s="123">
        <f t="shared" si="4"/>
        <v>1969694</v>
      </c>
      <c r="H37" s="130">
        <f t="shared" si="1"/>
        <v>0.36474740297093355</v>
      </c>
      <c r="I37" s="130">
        <f t="shared" si="2"/>
        <v>0.19092229779266628</v>
      </c>
      <c r="J37" s="130">
        <f t="shared" si="3"/>
        <v>0.44433029923640016</v>
      </c>
    </row>
    <row r="38" spans="1:10" x14ac:dyDescent="0.35">
      <c r="A38" s="1" t="s">
        <v>118</v>
      </c>
      <c r="B38">
        <v>32</v>
      </c>
      <c r="C38" s="123">
        <f>BF32</f>
        <v>4741565</v>
      </c>
      <c r="D38" s="123">
        <f>BG32</f>
        <v>2885093</v>
      </c>
      <c r="E38" s="123">
        <f t="shared" si="0"/>
        <v>1790829</v>
      </c>
      <c r="F38" s="123">
        <f>BI32</f>
        <v>1094264</v>
      </c>
      <c r="G38" s="123">
        <f t="shared" si="4"/>
        <v>1856472</v>
      </c>
      <c r="H38" s="130">
        <f t="shared" si="1"/>
        <v>0.37768732475459055</v>
      </c>
      <c r="I38" s="130">
        <f t="shared" si="2"/>
        <v>0.23078118722404944</v>
      </c>
      <c r="J38" s="130">
        <f t="shared" si="3"/>
        <v>0.39153148802136001</v>
      </c>
    </row>
    <row r="39" spans="1:10" x14ac:dyDescent="0.35">
      <c r="A39" s="1" t="s">
        <v>119</v>
      </c>
      <c r="B39">
        <v>37</v>
      </c>
      <c r="C39" s="123">
        <f>BA32</f>
        <v>4503633</v>
      </c>
      <c r="D39" s="123">
        <f>BB32</f>
        <v>3015270</v>
      </c>
      <c r="E39" s="123">
        <f t="shared" si="0"/>
        <v>1700919</v>
      </c>
      <c r="F39" s="123">
        <f>BD32</f>
        <v>1314351</v>
      </c>
      <c r="G39" s="123">
        <f t="shared" si="4"/>
        <v>1488363</v>
      </c>
      <c r="H39" s="130">
        <f t="shared" si="1"/>
        <v>0.37767708869705857</v>
      </c>
      <c r="I39" s="130">
        <f t="shared" si="2"/>
        <v>0.29184238591377226</v>
      </c>
      <c r="J39" s="130">
        <f t="shared" si="3"/>
        <v>0.33048052538916911</v>
      </c>
    </row>
    <row r="40" spans="1:10" x14ac:dyDescent="0.35">
      <c r="A40" s="1" t="s">
        <v>120</v>
      </c>
      <c r="B40">
        <v>42</v>
      </c>
      <c r="C40" s="123">
        <f>AQ32</f>
        <v>4119767</v>
      </c>
      <c r="D40" s="123">
        <f>AR32</f>
        <v>3051866</v>
      </c>
      <c r="E40" s="123">
        <f t="shared" si="0"/>
        <v>1127206</v>
      </c>
      <c r="F40" s="123">
        <f>AT32</f>
        <v>1924660</v>
      </c>
      <c r="G40" s="123">
        <f t="shared" si="4"/>
        <v>1067901</v>
      </c>
      <c r="H40" s="130">
        <f t="shared" si="1"/>
        <v>0.27360916284828729</v>
      </c>
      <c r="I40" s="130">
        <f t="shared" si="2"/>
        <v>0.46717690587841498</v>
      </c>
      <c r="J40" s="130">
        <f t="shared" si="3"/>
        <v>0.25921393127329773</v>
      </c>
    </row>
    <row r="41" spans="1:10" x14ac:dyDescent="0.35">
      <c r="A41" s="1" t="s">
        <v>121</v>
      </c>
      <c r="B41">
        <v>47</v>
      </c>
      <c r="C41" s="123">
        <f>AL32</f>
        <v>3995609</v>
      </c>
      <c r="D41" s="123">
        <f>AM32</f>
        <v>3211192</v>
      </c>
      <c r="E41" s="123">
        <f t="shared" si="0"/>
        <v>736804</v>
      </c>
      <c r="F41" s="123">
        <f>AO32</f>
        <v>2474388</v>
      </c>
      <c r="G41" s="123">
        <f t="shared" si="4"/>
        <v>784417</v>
      </c>
      <c r="H41" s="130">
        <f t="shared" si="1"/>
        <v>0.18440342886403549</v>
      </c>
      <c r="I41" s="130">
        <f t="shared" si="2"/>
        <v>0.61927681111940636</v>
      </c>
      <c r="J41" s="130">
        <f t="shared" si="3"/>
        <v>0.19631976001655815</v>
      </c>
    </row>
    <row r="42" spans="1:10" x14ac:dyDescent="0.35">
      <c r="A42" s="1" t="s">
        <v>122</v>
      </c>
      <c r="B42">
        <v>52</v>
      </c>
      <c r="C42" s="123">
        <f>AG32</f>
        <v>4223218</v>
      </c>
      <c r="D42" s="123">
        <f>AH32</f>
        <v>3611929</v>
      </c>
      <c r="E42" s="123">
        <f t="shared" si="0"/>
        <v>211768</v>
      </c>
      <c r="F42" s="123">
        <f>AJ32</f>
        <v>3400161</v>
      </c>
      <c r="G42" s="123">
        <f t="shared" si="4"/>
        <v>611289</v>
      </c>
      <c r="H42" s="130">
        <f t="shared" si="1"/>
        <v>5.0143752939109464E-2</v>
      </c>
      <c r="I42" s="130">
        <f t="shared" si="2"/>
        <v>0.80511141030370681</v>
      </c>
      <c r="J42" s="130">
        <f t="shared" si="3"/>
        <v>0.14474483675718375</v>
      </c>
    </row>
    <row r="43" spans="1:10" x14ac:dyDescent="0.35">
      <c r="A43" s="1" t="s">
        <v>123</v>
      </c>
      <c r="B43" s="1">
        <v>57</v>
      </c>
      <c r="C43" s="123">
        <f>AB32</f>
        <v>4075327</v>
      </c>
      <c r="D43" s="123">
        <f>AC32</f>
        <v>3593404</v>
      </c>
      <c r="E43" s="123">
        <f t="shared" si="0"/>
        <v>171663</v>
      </c>
      <c r="F43" s="123">
        <f>AE32</f>
        <v>3421741</v>
      </c>
      <c r="G43" s="123">
        <f t="shared" si="4"/>
        <v>481923</v>
      </c>
      <c r="H43" s="130">
        <f t="shared" si="1"/>
        <v>4.2122509432985379E-2</v>
      </c>
      <c r="I43" s="130">
        <f t="shared" si="2"/>
        <v>0.83962366700880686</v>
      </c>
      <c r="J43" s="130">
        <f t="shared" si="3"/>
        <v>0.11825382355820779</v>
      </c>
    </row>
    <row r="44" spans="1:10" x14ac:dyDescent="0.35">
      <c r="A44" s="1" t="s">
        <v>124</v>
      </c>
      <c r="B44">
        <v>62</v>
      </c>
      <c r="C44" s="123">
        <f>W32</f>
        <v>3449617</v>
      </c>
      <c r="D44" s="123">
        <f>X32</f>
        <v>3110175</v>
      </c>
      <c r="E44" s="123">
        <f t="shared" si="0"/>
        <v>114484</v>
      </c>
      <c r="F44" s="123">
        <f>Z32</f>
        <v>2995691</v>
      </c>
      <c r="G44" s="123">
        <f t="shared" si="4"/>
        <v>339442</v>
      </c>
      <c r="H44" s="130">
        <f t="shared" si="1"/>
        <v>3.318745240413646E-2</v>
      </c>
      <c r="I44" s="130">
        <f t="shared" si="2"/>
        <v>0.86841263827259663</v>
      </c>
      <c r="J44" s="130">
        <f t="shared" si="3"/>
        <v>9.8399909323266921E-2</v>
      </c>
    </row>
    <row r="45" spans="1:10" x14ac:dyDescent="0.35">
      <c r="A45" s="1" t="s">
        <v>125</v>
      </c>
      <c r="B45">
        <v>67</v>
      </c>
      <c r="C45" s="123">
        <f>R32</f>
        <v>2890321</v>
      </c>
      <c r="D45" s="123">
        <f>S32</f>
        <v>2663699</v>
      </c>
      <c r="E45" s="123">
        <f t="shared" si="0"/>
        <v>59353</v>
      </c>
      <c r="F45" s="123">
        <f>U32</f>
        <v>2604346</v>
      </c>
      <c r="G45" s="123">
        <f t="shared" si="4"/>
        <v>226622</v>
      </c>
      <c r="H45" s="130">
        <f t="shared" si="1"/>
        <v>2.053508935512699E-2</v>
      </c>
      <c r="I45" s="130">
        <f t="shared" si="2"/>
        <v>0.90105770258735962</v>
      </c>
      <c r="J45" s="130">
        <f t="shared" si="3"/>
        <v>7.8407208057513333E-2</v>
      </c>
    </row>
    <row r="46" spans="1:10" x14ac:dyDescent="0.35">
      <c r="A46" s="1" t="s">
        <v>126</v>
      </c>
      <c r="B46">
        <v>72</v>
      </c>
      <c r="C46" s="123">
        <f>M32</f>
        <v>2872687</v>
      </c>
      <c r="D46" s="123">
        <f>N32</f>
        <v>2711771</v>
      </c>
      <c r="E46" s="123">
        <f t="shared" si="0"/>
        <v>41384</v>
      </c>
      <c r="F46" s="123">
        <f>P32</f>
        <v>2670387</v>
      </c>
      <c r="G46" s="123">
        <f t="shared" si="4"/>
        <v>160916</v>
      </c>
      <c r="H46" s="130">
        <f t="shared" si="1"/>
        <v>1.440602474268864E-2</v>
      </c>
      <c r="I46" s="130">
        <f t="shared" si="2"/>
        <v>0.92957812668069995</v>
      </c>
      <c r="J46" s="130">
        <f t="shared" si="3"/>
        <v>5.601584857661146E-2</v>
      </c>
    </row>
    <row r="47" spans="1:10" x14ac:dyDescent="0.35">
      <c r="A47" s="1" t="s">
        <v>127</v>
      </c>
      <c r="B47">
        <v>77</v>
      </c>
      <c r="C47" s="123">
        <f>H32</f>
        <v>2079085</v>
      </c>
      <c r="D47" s="123">
        <f>I32</f>
        <v>1983649</v>
      </c>
      <c r="E47" s="123">
        <f t="shared" si="0"/>
        <v>28431</v>
      </c>
      <c r="F47" s="123">
        <f>K32</f>
        <v>1955218</v>
      </c>
      <c r="G47" s="123">
        <f t="shared" si="4"/>
        <v>95436</v>
      </c>
      <c r="H47" s="130">
        <f t="shared" si="1"/>
        <v>1.3674765581974764E-2</v>
      </c>
      <c r="I47" s="130">
        <f t="shared" si="2"/>
        <v>0.9404223492546</v>
      </c>
      <c r="J47" s="130">
        <f t="shared" si="3"/>
        <v>4.5902885163425222E-2</v>
      </c>
    </row>
    <row r="48" spans="1:10" x14ac:dyDescent="0.35">
      <c r="A48" s="1" t="s">
        <v>259</v>
      </c>
      <c r="B48">
        <v>90</v>
      </c>
      <c r="C48" s="123">
        <f>C32</f>
        <v>2798871</v>
      </c>
      <c r="D48" s="123">
        <f>D32</f>
        <v>2665589</v>
      </c>
      <c r="E48" s="123">
        <f>D48-F48</f>
        <v>59733</v>
      </c>
      <c r="F48" s="123">
        <f>F32</f>
        <v>2605856</v>
      </c>
      <c r="G48" s="123">
        <f t="shared" si="4"/>
        <v>133282</v>
      </c>
      <c r="H48" s="130">
        <f t="shared" si="1"/>
        <v>2.1341819612265087E-2</v>
      </c>
      <c r="I48" s="130">
        <f t="shared" si="2"/>
        <v>0.93103826507188081</v>
      </c>
      <c r="J48" s="130">
        <f t="shared" si="3"/>
        <v>4.7619915315854078E-2</v>
      </c>
    </row>
    <row r="49" spans="1:10" x14ac:dyDescent="0.35">
      <c r="A49" s="1"/>
    </row>
    <row r="50" spans="1:10" x14ac:dyDescent="0.35">
      <c r="A50" s="1"/>
      <c r="B50" s="82" t="s">
        <v>176</v>
      </c>
      <c r="C50" s="171">
        <f>SUM(C35:C48)</f>
        <v>61941471</v>
      </c>
      <c r="D50" s="171"/>
      <c r="E50" s="171">
        <f>SUM(E35:E48)</f>
        <v>9654482</v>
      </c>
      <c r="F50" s="171">
        <f>SUM(F35:F48)</f>
        <v>28175659</v>
      </c>
      <c r="G50" s="172">
        <f>SUM(G35:G48)</f>
        <v>24111330</v>
      </c>
    </row>
    <row r="52" spans="1:10" x14ac:dyDescent="0.35">
      <c r="A52" s="82" t="s">
        <v>262</v>
      </c>
      <c r="B52" s="123"/>
      <c r="C52" s="123"/>
      <c r="D52" s="123"/>
      <c r="E52" s="130"/>
      <c r="F52" s="130"/>
      <c r="G52" s="130"/>
    </row>
    <row r="53" spans="1:10" x14ac:dyDescent="0.35">
      <c r="A53" s="1"/>
      <c r="B53" s="82" t="s">
        <v>104</v>
      </c>
      <c r="C53" s="82" t="s">
        <v>172</v>
      </c>
      <c r="D53" s="82"/>
      <c r="E53" s="82" t="s">
        <v>106</v>
      </c>
      <c r="F53" s="82" t="s">
        <v>103</v>
      </c>
      <c r="G53" s="82" t="s">
        <v>7</v>
      </c>
      <c r="H53" s="82" t="s">
        <v>173</v>
      </c>
      <c r="I53" s="82" t="s">
        <v>174</v>
      </c>
      <c r="J53" s="82" t="s">
        <v>175</v>
      </c>
    </row>
    <row r="54" spans="1:10" s="1" customFormat="1" x14ac:dyDescent="0.35">
      <c r="A54" s="1" t="s">
        <v>263</v>
      </c>
      <c r="B54" s="1">
        <f>(9-0)/2</f>
        <v>4.5</v>
      </c>
      <c r="C54" s="73">
        <f>C35*10/18</f>
        <v>6964077.777777778</v>
      </c>
      <c r="D54" s="73">
        <f t="shared" ref="D54:F54" si="5">D35*10/18</f>
        <v>96217.777777777781</v>
      </c>
      <c r="E54" s="73">
        <f t="shared" si="5"/>
        <v>60506.666666666664</v>
      </c>
      <c r="F54" s="73">
        <f t="shared" si="5"/>
        <v>35711.111111111109</v>
      </c>
      <c r="G54" s="73">
        <f>C54-E54-F54</f>
        <v>6867860</v>
      </c>
      <c r="H54" s="240">
        <f>E54/C54</f>
        <v>8.6883961663584714E-3</v>
      </c>
      <c r="I54" s="240">
        <f>F54/C54</f>
        <v>5.1279023943506911E-3</v>
      </c>
      <c r="J54" s="240">
        <f>G54/C54</f>
        <v>0.98618370143929079</v>
      </c>
    </row>
    <row r="55" spans="1:10" x14ac:dyDescent="0.35">
      <c r="A55" s="241" t="s">
        <v>265</v>
      </c>
      <c r="B55" s="1">
        <f>(17-11)/2+11</f>
        <v>14</v>
      </c>
      <c r="C55" s="73">
        <f>8/18*C35</f>
        <v>5571262.222222222</v>
      </c>
      <c r="D55" s="73">
        <f t="shared" ref="D55:F55" si="6">8/18*D35</f>
        <v>76974.222222222219</v>
      </c>
      <c r="E55" s="73">
        <f t="shared" si="6"/>
        <v>48405.333333333328</v>
      </c>
      <c r="F55" s="73">
        <f t="shared" si="6"/>
        <v>28568.888888888887</v>
      </c>
      <c r="G55" s="73">
        <f>C55-E55-F55</f>
        <v>5494288</v>
      </c>
      <c r="H55" s="130">
        <f>E55/C55</f>
        <v>8.6883961663584714E-3</v>
      </c>
      <c r="I55" s="130">
        <f>F55/C55</f>
        <v>5.1279023943506911E-3</v>
      </c>
      <c r="J55" s="130">
        <f>G55/C55</f>
        <v>0.98618370143929091</v>
      </c>
    </row>
    <row r="56" spans="1:10" x14ac:dyDescent="0.35">
      <c r="A56" s="1" t="s">
        <v>260</v>
      </c>
      <c r="B56" s="1">
        <f t="shared" ref="B56:J56" si="7">B36</f>
        <v>21</v>
      </c>
      <c r="C56" s="73">
        <f t="shared" si="7"/>
        <v>5223481</v>
      </c>
      <c r="D56" s="73">
        <f t="shared" si="7"/>
        <v>2690056</v>
      </c>
      <c r="E56" s="73">
        <f t="shared" si="7"/>
        <v>1886089</v>
      </c>
      <c r="F56" s="73">
        <f t="shared" si="7"/>
        <v>803967</v>
      </c>
      <c r="G56" s="73">
        <f t="shared" si="7"/>
        <v>2533425</v>
      </c>
      <c r="H56" s="130">
        <f t="shared" si="7"/>
        <v>0.36107894333299956</v>
      </c>
      <c r="I56" s="130">
        <f t="shared" si="7"/>
        <v>0.1539140278293345</v>
      </c>
      <c r="J56" s="130">
        <f t="shared" si="7"/>
        <v>0.485007028837666</v>
      </c>
    </row>
    <row r="57" spans="1:10" x14ac:dyDescent="0.35">
      <c r="A57" s="1" t="s">
        <v>117</v>
      </c>
      <c r="B57" s="1">
        <f t="shared" ref="B57:J57" si="8">B37</f>
        <v>27</v>
      </c>
      <c r="C57" s="73">
        <f t="shared" si="8"/>
        <v>4432950</v>
      </c>
      <c r="D57" s="73">
        <f t="shared" si="8"/>
        <v>2463256</v>
      </c>
      <c r="E57" s="73">
        <f t="shared" si="8"/>
        <v>1616907</v>
      </c>
      <c r="F57" s="73">
        <f t="shared" si="8"/>
        <v>846349</v>
      </c>
      <c r="G57" s="73">
        <f t="shared" si="8"/>
        <v>1969694</v>
      </c>
      <c r="H57" s="130">
        <f t="shared" si="8"/>
        <v>0.36474740297093355</v>
      </c>
      <c r="I57" s="130">
        <f t="shared" si="8"/>
        <v>0.19092229779266628</v>
      </c>
      <c r="J57" s="130">
        <f t="shared" si="8"/>
        <v>0.44433029923640016</v>
      </c>
    </row>
    <row r="58" spans="1:10" x14ac:dyDescent="0.35">
      <c r="A58" s="1" t="s">
        <v>118</v>
      </c>
      <c r="B58" s="1">
        <f t="shared" ref="B58:J58" si="9">B38</f>
        <v>32</v>
      </c>
      <c r="C58" s="73">
        <f t="shared" si="9"/>
        <v>4741565</v>
      </c>
      <c r="D58" s="73">
        <f t="shared" si="9"/>
        <v>2885093</v>
      </c>
      <c r="E58" s="73">
        <f t="shared" si="9"/>
        <v>1790829</v>
      </c>
      <c r="F58" s="73">
        <f t="shared" si="9"/>
        <v>1094264</v>
      </c>
      <c r="G58" s="73">
        <f t="shared" si="9"/>
        <v>1856472</v>
      </c>
      <c r="H58" s="130">
        <f t="shared" si="9"/>
        <v>0.37768732475459055</v>
      </c>
      <c r="I58" s="130">
        <f t="shared" si="9"/>
        <v>0.23078118722404944</v>
      </c>
      <c r="J58" s="130">
        <f t="shared" si="9"/>
        <v>0.39153148802136001</v>
      </c>
    </row>
    <row r="59" spans="1:10" x14ac:dyDescent="0.35">
      <c r="A59" s="1" t="s">
        <v>119</v>
      </c>
      <c r="B59" s="1">
        <f t="shared" ref="B59:J59" si="10">B39</f>
        <v>37</v>
      </c>
      <c r="C59" s="73">
        <f t="shared" si="10"/>
        <v>4503633</v>
      </c>
      <c r="D59" s="73">
        <f t="shared" si="10"/>
        <v>3015270</v>
      </c>
      <c r="E59" s="73">
        <f t="shared" si="10"/>
        <v>1700919</v>
      </c>
      <c r="F59" s="73">
        <f t="shared" si="10"/>
        <v>1314351</v>
      </c>
      <c r="G59" s="73">
        <f t="shared" si="10"/>
        <v>1488363</v>
      </c>
      <c r="H59" s="130">
        <f t="shared" si="10"/>
        <v>0.37767708869705857</v>
      </c>
      <c r="I59" s="130">
        <f t="shared" si="10"/>
        <v>0.29184238591377226</v>
      </c>
      <c r="J59" s="130">
        <f t="shared" si="10"/>
        <v>0.33048052538916911</v>
      </c>
    </row>
    <row r="60" spans="1:10" x14ac:dyDescent="0.35">
      <c r="A60" s="1" t="s">
        <v>120</v>
      </c>
      <c r="B60" s="1">
        <f>B40</f>
        <v>42</v>
      </c>
      <c r="C60" s="73">
        <f t="shared" ref="C60:J60" si="11">C40</f>
        <v>4119767</v>
      </c>
      <c r="D60" s="73">
        <f t="shared" si="11"/>
        <v>3051866</v>
      </c>
      <c r="E60" s="73">
        <f t="shared" si="11"/>
        <v>1127206</v>
      </c>
      <c r="F60" s="73">
        <f t="shared" si="11"/>
        <v>1924660</v>
      </c>
      <c r="G60" s="73">
        <f t="shared" si="11"/>
        <v>1067901</v>
      </c>
      <c r="H60" s="130">
        <f t="shared" si="11"/>
        <v>0.27360916284828729</v>
      </c>
      <c r="I60" s="130">
        <f t="shared" si="11"/>
        <v>0.46717690587841498</v>
      </c>
      <c r="J60" s="130">
        <f t="shared" si="11"/>
        <v>0.25921393127329773</v>
      </c>
    </row>
    <row r="61" spans="1:10" x14ac:dyDescent="0.35">
      <c r="A61" s="1" t="s">
        <v>121</v>
      </c>
      <c r="B61" s="1">
        <f t="shared" ref="B61:J61" si="12">B41</f>
        <v>47</v>
      </c>
      <c r="C61" s="73">
        <f t="shared" si="12"/>
        <v>3995609</v>
      </c>
      <c r="D61" s="73">
        <f t="shared" si="12"/>
        <v>3211192</v>
      </c>
      <c r="E61" s="73">
        <f t="shared" si="12"/>
        <v>736804</v>
      </c>
      <c r="F61" s="73">
        <f t="shared" si="12"/>
        <v>2474388</v>
      </c>
      <c r="G61" s="73">
        <f t="shared" si="12"/>
        <v>784417</v>
      </c>
      <c r="H61" s="130">
        <f t="shared" si="12"/>
        <v>0.18440342886403549</v>
      </c>
      <c r="I61" s="130">
        <f t="shared" si="12"/>
        <v>0.61927681111940636</v>
      </c>
      <c r="J61" s="130">
        <f t="shared" si="12"/>
        <v>0.19631976001655815</v>
      </c>
    </row>
    <row r="62" spans="1:10" x14ac:dyDescent="0.35">
      <c r="A62" s="1" t="s">
        <v>122</v>
      </c>
      <c r="B62" s="1">
        <f t="shared" ref="B62:J62" si="13">B42</f>
        <v>52</v>
      </c>
      <c r="C62" s="73">
        <f t="shared" si="13"/>
        <v>4223218</v>
      </c>
      <c r="D62" s="73">
        <f t="shared" si="13"/>
        <v>3611929</v>
      </c>
      <c r="E62" s="73">
        <f t="shared" si="13"/>
        <v>211768</v>
      </c>
      <c r="F62" s="73">
        <f t="shared" si="13"/>
        <v>3400161</v>
      </c>
      <c r="G62" s="73">
        <f t="shared" si="13"/>
        <v>611289</v>
      </c>
      <c r="H62" s="130">
        <f t="shared" si="13"/>
        <v>5.0143752939109464E-2</v>
      </c>
      <c r="I62" s="130">
        <f t="shared" si="13"/>
        <v>0.80511141030370681</v>
      </c>
      <c r="J62" s="130">
        <f t="shared" si="13"/>
        <v>0.14474483675718375</v>
      </c>
    </row>
    <row r="63" spans="1:10" x14ac:dyDescent="0.35">
      <c r="A63" s="1" t="s">
        <v>123</v>
      </c>
      <c r="B63" s="1">
        <f t="shared" ref="B63:J63" si="14">B43</f>
        <v>57</v>
      </c>
      <c r="C63" s="73">
        <f t="shared" si="14"/>
        <v>4075327</v>
      </c>
      <c r="D63" s="73">
        <f t="shared" si="14"/>
        <v>3593404</v>
      </c>
      <c r="E63" s="73">
        <f t="shared" si="14"/>
        <v>171663</v>
      </c>
      <c r="F63" s="73">
        <f t="shared" si="14"/>
        <v>3421741</v>
      </c>
      <c r="G63" s="73">
        <f t="shared" si="14"/>
        <v>481923</v>
      </c>
      <c r="H63" s="130">
        <f t="shared" si="14"/>
        <v>4.2122509432985379E-2</v>
      </c>
      <c r="I63" s="130">
        <f t="shared" si="14"/>
        <v>0.83962366700880686</v>
      </c>
      <c r="J63" s="130">
        <f t="shared" si="14"/>
        <v>0.11825382355820779</v>
      </c>
    </row>
    <row r="64" spans="1:10" x14ac:dyDescent="0.35">
      <c r="A64" s="1" t="s">
        <v>124</v>
      </c>
      <c r="B64" s="1">
        <f t="shared" ref="B64:J64" si="15">B44</f>
        <v>62</v>
      </c>
      <c r="C64" s="73">
        <f t="shared" si="15"/>
        <v>3449617</v>
      </c>
      <c r="D64" s="73">
        <f t="shared" si="15"/>
        <v>3110175</v>
      </c>
      <c r="E64" s="73">
        <f t="shared" si="15"/>
        <v>114484</v>
      </c>
      <c r="F64" s="73">
        <f t="shared" si="15"/>
        <v>2995691</v>
      </c>
      <c r="G64" s="73">
        <f t="shared" si="15"/>
        <v>339442</v>
      </c>
      <c r="H64" s="130">
        <f t="shared" si="15"/>
        <v>3.318745240413646E-2</v>
      </c>
      <c r="I64" s="130">
        <f t="shared" si="15"/>
        <v>0.86841263827259663</v>
      </c>
      <c r="J64" s="130">
        <f t="shared" si="15"/>
        <v>9.8399909323266921E-2</v>
      </c>
    </row>
    <row r="65" spans="1:10" x14ac:dyDescent="0.35">
      <c r="A65" s="1" t="s">
        <v>125</v>
      </c>
      <c r="B65" s="1">
        <f t="shared" ref="B65:J65" si="16">B45</f>
        <v>67</v>
      </c>
      <c r="C65" s="73">
        <f t="shared" si="16"/>
        <v>2890321</v>
      </c>
      <c r="D65" s="73">
        <f t="shared" si="16"/>
        <v>2663699</v>
      </c>
      <c r="E65" s="73">
        <f t="shared" si="16"/>
        <v>59353</v>
      </c>
      <c r="F65" s="73">
        <f t="shared" si="16"/>
        <v>2604346</v>
      </c>
      <c r="G65" s="73">
        <f t="shared" si="16"/>
        <v>226622</v>
      </c>
      <c r="H65" s="130">
        <f t="shared" si="16"/>
        <v>2.053508935512699E-2</v>
      </c>
      <c r="I65" s="130">
        <f t="shared" si="16"/>
        <v>0.90105770258735962</v>
      </c>
      <c r="J65" s="130">
        <f t="shared" si="16"/>
        <v>7.8407208057513333E-2</v>
      </c>
    </row>
    <row r="66" spans="1:10" x14ac:dyDescent="0.35">
      <c r="A66" s="1" t="s">
        <v>126</v>
      </c>
      <c r="B66" s="1">
        <f t="shared" ref="B66:J66" si="17">B46</f>
        <v>72</v>
      </c>
      <c r="C66" s="73">
        <f t="shared" si="17"/>
        <v>2872687</v>
      </c>
      <c r="D66" s="73">
        <f t="shared" si="17"/>
        <v>2711771</v>
      </c>
      <c r="E66" s="73">
        <f t="shared" si="17"/>
        <v>41384</v>
      </c>
      <c r="F66" s="73">
        <f t="shared" si="17"/>
        <v>2670387</v>
      </c>
      <c r="G66" s="73">
        <f t="shared" si="17"/>
        <v>160916</v>
      </c>
      <c r="H66" s="130">
        <f t="shared" si="17"/>
        <v>1.440602474268864E-2</v>
      </c>
      <c r="I66" s="130">
        <f t="shared" si="17"/>
        <v>0.92957812668069995</v>
      </c>
      <c r="J66" s="130">
        <f t="shared" si="17"/>
        <v>5.601584857661146E-2</v>
      </c>
    </row>
    <row r="67" spans="1:10" x14ac:dyDescent="0.35">
      <c r="A67" s="1" t="s">
        <v>127</v>
      </c>
      <c r="B67" s="1">
        <f t="shared" ref="B67:J67" si="18">B47</f>
        <v>77</v>
      </c>
      <c r="C67" s="73">
        <f t="shared" si="18"/>
        <v>2079085</v>
      </c>
      <c r="D67" s="73">
        <f t="shared" si="18"/>
        <v>1983649</v>
      </c>
      <c r="E67" s="73">
        <f t="shared" si="18"/>
        <v>28431</v>
      </c>
      <c r="F67" s="73">
        <f t="shared" si="18"/>
        <v>1955218</v>
      </c>
      <c r="G67" s="73">
        <f t="shared" si="18"/>
        <v>95436</v>
      </c>
      <c r="H67" s="130">
        <f t="shared" si="18"/>
        <v>1.3674765581974764E-2</v>
      </c>
      <c r="I67" s="130">
        <f t="shared" si="18"/>
        <v>0.9404223492546</v>
      </c>
      <c r="J67" s="130">
        <f t="shared" si="18"/>
        <v>4.5902885163425222E-2</v>
      </c>
    </row>
    <row r="68" spans="1:10" x14ac:dyDescent="0.35">
      <c r="A68" s="1" t="s">
        <v>259</v>
      </c>
      <c r="B68" s="1">
        <f t="shared" ref="B68:J68" si="19">B48</f>
        <v>90</v>
      </c>
      <c r="C68" s="73">
        <f t="shared" si="19"/>
        <v>2798871</v>
      </c>
      <c r="D68" s="73">
        <f t="shared" si="19"/>
        <v>2665589</v>
      </c>
      <c r="E68" s="73">
        <f t="shared" si="19"/>
        <v>59733</v>
      </c>
      <c r="F68" s="73">
        <f t="shared" si="19"/>
        <v>2605856</v>
      </c>
      <c r="G68" s="73">
        <f t="shared" si="19"/>
        <v>133282</v>
      </c>
      <c r="H68" s="130">
        <f t="shared" si="19"/>
        <v>2.1341819612265087E-2</v>
      </c>
      <c r="I68" s="130">
        <f t="shared" si="19"/>
        <v>0.93103826507188081</v>
      </c>
      <c r="J68" s="130">
        <f t="shared" si="19"/>
        <v>4.7619915315854078E-2</v>
      </c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 s="82" t="s">
        <v>176</v>
      </c>
      <c r="C70" s="171">
        <f>SUM(C54:C68)</f>
        <v>61941471</v>
      </c>
      <c r="D70" s="171"/>
      <c r="E70" s="171">
        <f>SUM(E54:E68)</f>
        <v>9654482</v>
      </c>
      <c r="F70" s="171">
        <f>SUM(F54:F68)</f>
        <v>28175659</v>
      </c>
      <c r="G70" s="172">
        <f>SUM(G54:G68)</f>
        <v>24111330</v>
      </c>
      <c r="H70" s="1"/>
      <c r="I70" s="1"/>
      <c r="J70" s="1"/>
    </row>
    <row r="73" spans="1:10" x14ac:dyDescent="0.35">
      <c r="A73" s="251" t="s">
        <v>271</v>
      </c>
    </row>
    <row r="77" spans="1:10" x14ac:dyDescent="0.35">
      <c r="C77" s="1"/>
    </row>
    <row r="78" spans="1:10" x14ac:dyDescent="0.35">
      <c r="C78" s="1"/>
    </row>
    <row r="79" spans="1:10" x14ac:dyDescent="0.35">
      <c r="C79" s="1"/>
    </row>
    <row r="80" spans="1:10" x14ac:dyDescent="0.35">
      <c r="C80" s="1"/>
    </row>
    <row r="81" spans="3:3" x14ac:dyDescent="0.35">
      <c r="C81" s="1"/>
    </row>
    <row r="82" spans="3:3" x14ac:dyDescent="0.35">
      <c r="C82" s="1"/>
    </row>
    <row r="83" spans="3:3" x14ac:dyDescent="0.35">
      <c r="C83" s="1"/>
    </row>
    <row r="84" spans="3:3" x14ac:dyDescent="0.35">
      <c r="C84" s="1"/>
    </row>
    <row r="85" spans="3:3" x14ac:dyDescent="0.35">
      <c r="C85" s="1"/>
    </row>
  </sheetData>
  <mergeCells count="17">
    <mergeCell ref="AV1:AZ1"/>
    <mergeCell ref="A1:A2"/>
    <mergeCell ref="B1:B2"/>
    <mergeCell ref="C1:G1"/>
    <mergeCell ref="H1:L1"/>
    <mergeCell ref="M1:Q1"/>
    <mergeCell ref="R1:V1"/>
    <mergeCell ref="W1:AA1"/>
    <mergeCell ref="AB1:AF1"/>
    <mergeCell ref="AG1:AK1"/>
    <mergeCell ref="AL1:AP1"/>
    <mergeCell ref="AQ1:AU1"/>
    <mergeCell ref="BA1:BE1"/>
    <mergeCell ref="BF1:BJ1"/>
    <mergeCell ref="BK1:BO1"/>
    <mergeCell ref="BP1:BT1"/>
    <mergeCell ref="BU1:BY1"/>
  </mergeCells>
  <conditionalFormatting sqref="C3:AK32 AV3:BY32">
    <cfRule type="containsErrors" dxfId="2" priority="3">
      <formula>ISERROR(C3)</formula>
    </cfRule>
  </conditionalFormatting>
  <conditionalFormatting sqref="AQ3:AU32">
    <cfRule type="containsErrors" dxfId="1" priority="2">
      <formula>ISERROR(AQ3)</formula>
    </cfRule>
  </conditionalFormatting>
  <conditionalFormatting sqref="AL3:AP32">
    <cfRule type="containsErrors" dxfId="0" priority="1">
      <formula>ISERROR(AL3)</formula>
    </cfRule>
  </conditionalFormatting>
  <hyperlinks>
    <hyperlink ref="A73" r:id="rId1" xr:uid="{C0CB3034-32F9-445F-8A76-E2408603B13C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A5BD3-DEC9-44F7-844B-AE48E408D715}">
  <dimension ref="A1:BJ46"/>
  <sheetViews>
    <sheetView workbookViewId="0">
      <selection activeCell="N55" sqref="N55"/>
    </sheetView>
  </sheetViews>
  <sheetFormatPr defaultRowHeight="14.5" x14ac:dyDescent="0.35"/>
  <cols>
    <col min="1" max="1" width="14.7265625" customWidth="1"/>
    <col min="2" max="2" width="12.1796875" customWidth="1"/>
    <col min="3" max="4" width="19.81640625" customWidth="1"/>
    <col min="5" max="7" width="16.54296875" customWidth="1"/>
    <col min="8" max="8" width="15.7265625" customWidth="1"/>
    <col min="10" max="10" width="11.81640625" customWidth="1"/>
    <col min="11" max="11" width="11.54296875" bestFit="1" customWidth="1"/>
    <col min="12" max="12" width="11.453125" customWidth="1"/>
  </cols>
  <sheetData>
    <row r="1" spans="1:62" ht="18.5" x14ac:dyDescent="0.45">
      <c r="A1" s="132" t="s">
        <v>180</v>
      </c>
    </row>
    <row r="2" spans="1:62" s="1" customFormat="1" ht="18.5" x14ac:dyDescent="0.45">
      <c r="A2" s="132"/>
    </row>
    <row r="3" spans="1:62" s="1" customFormat="1" ht="18.5" x14ac:dyDescent="0.45">
      <c r="A3" s="132"/>
    </row>
    <row r="4" spans="1:62" s="82" customFormat="1" x14ac:dyDescent="0.35">
      <c r="A4" s="82" t="s">
        <v>181</v>
      </c>
      <c r="B4" s="82" t="s">
        <v>182</v>
      </c>
      <c r="C4" s="82" t="s">
        <v>183</v>
      </c>
      <c r="D4" s="82" t="s">
        <v>184</v>
      </c>
      <c r="E4" s="82" t="s">
        <v>76</v>
      </c>
      <c r="F4" s="82" t="s">
        <v>185</v>
      </c>
      <c r="G4" s="82" t="s">
        <v>186</v>
      </c>
      <c r="H4" s="82" t="s">
        <v>187</v>
      </c>
      <c r="I4" s="82" t="s">
        <v>188</v>
      </c>
      <c r="J4" s="82" t="s">
        <v>189</v>
      </c>
      <c r="K4" s="82" t="s">
        <v>190</v>
      </c>
      <c r="L4" s="82" t="s">
        <v>191</v>
      </c>
      <c r="M4" s="82" t="s">
        <v>192</v>
      </c>
      <c r="N4" s="82" t="s">
        <v>193</v>
      </c>
      <c r="O4" s="82" t="s">
        <v>194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33" customFormat="1" x14ac:dyDescent="0.35">
      <c r="A5" s="1" t="s">
        <v>195</v>
      </c>
      <c r="B5" s="1" t="s">
        <v>102</v>
      </c>
      <c r="C5" s="1" t="s">
        <v>196</v>
      </c>
      <c r="D5" s="1">
        <v>44379</v>
      </c>
      <c r="E5" s="1" t="s">
        <v>197</v>
      </c>
      <c r="F5" s="1">
        <v>1359778</v>
      </c>
      <c r="G5" s="1">
        <v>62370</v>
      </c>
      <c r="H5" s="1">
        <v>688</v>
      </c>
      <c r="I5" s="1">
        <v>162652</v>
      </c>
      <c r="J5" s="1">
        <v>3426</v>
      </c>
      <c r="K5" s="1">
        <v>62370</v>
      </c>
      <c r="L5" s="1">
        <v>688</v>
      </c>
      <c r="M5" s="1">
        <v>12</v>
      </c>
      <c r="N5" s="1">
        <v>4.5999999999999996</v>
      </c>
      <c r="O5" s="1">
        <v>4.5999999999999996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133" customFormat="1" x14ac:dyDescent="0.35">
      <c r="A6" s="1" t="s">
        <v>195</v>
      </c>
      <c r="B6" s="1" t="s">
        <v>102</v>
      </c>
      <c r="C6" s="1" t="s">
        <v>196</v>
      </c>
      <c r="D6" s="1">
        <v>44379</v>
      </c>
      <c r="E6" s="1" t="s">
        <v>198</v>
      </c>
      <c r="F6" s="1">
        <v>5323227</v>
      </c>
      <c r="G6" s="1">
        <v>802568</v>
      </c>
      <c r="H6" s="1">
        <v>4524</v>
      </c>
      <c r="I6" s="1">
        <v>2613397</v>
      </c>
      <c r="J6" s="1">
        <v>56182</v>
      </c>
      <c r="K6" s="1">
        <v>802568</v>
      </c>
      <c r="L6" s="1">
        <v>4524</v>
      </c>
      <c r="M6" s="1">
        <v>49.1</v>
      </c>
      <c r="N6" s="1">
        <v>15.1</v>
      </c>
      <c r="O6" s="1">
        <v>15.1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133" customFormat="1" x14ac:dyDescent="0.35">
      <c r="A7" s="1" t="s">
        <v>195</v>
      </c>
      <c r="B7" s="1" t="s">
        <v>102</v>
      </c>
      <c r="C7" s="1" t="s">
        <v>196</v>
      </c>
      <c r="D7" s="1">
        <v>44379</v>
      </c>
      <c r="E7" s="1" t="s">
        <v>199</v>
      </c>
      <c r="F7" s="1">
        <v>4499079</v>
      </c>
      <c r="G7" s="1">
        <v>844954</v>
      </c>
      <c r="H7" s="1">
        <v>5002</v>
      </c>
      <c r="I7" s="1">
        <v>2451538</v>
      </c>
      <c r="J7" s="1">
        <v>19031</v>
      </c>
      <c r="K7" s="1">
        <v>844954</v>
      </c>
      <c r="L7" s="1">
        <v>5002</v>
      </c>
      <c r="M7" s="1">
        <v>54.5</v>
      </c>
      <c r="N7" s="1">
        <v>18.8</v>
      </c>
      <c r="O7" s="1">
        <v>18.8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133" customFormat="1" x14ac:dyDescent="0.35">
      <c r="A8" s="1" t="s">
        <v>195</v>
      </c>
      <c r="B8" s="1" t="s">
        <v>102</v>
      </c>
      <c r="C8" s="1" t="s">
        <v>196</v>
      </c>
      <c r="D8" s="1">
        <v>44379</v>
      </c>
      <c r="E8" s="1" t="s">
        <v>200</v>
      </c>
      <c r="F8" s="1">
        <v>4789104</v>
      </c>
      <c r="G8" s="1">
        <v>1084417</v>
      </c>
      <c r="H8" s="1">
        <v>9925</v>
      </c>
      <c r="I8" s="1">
        <v>2885269</v>
      </c>
      <c r="J8" s="1">
        <v>9867</v>
      </c>
      <c r="K8" s="1">
        <v>1084417</v>
      </c>
      <c r="L8" s="1">
        <v>9925</v>
      </c>
      <c r="M8" s="1">
        <v>60.2</v>
      </c>
      <c r="N8" s="1">
        <v>22.6</v>
      </c>
      <c r="O8" s="1">
        <v>22.6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133" customFormat="1" x14ac:dyDescent="0.35">
      <c r="A9" s="1" t="s">
        <v>195</v>
      </c>
      <c r="B9" s="1" t="s">
        <v>102</v>
      </c>
      <c r="C9" s="1" t="s">
        <v>196</v>
      </c>
      <c r="D9" s="1">
        <v>44379</v>
      </c>
      <c r="E9" s="1" t="s">
        <v>201</v>
      </c>
      <c r="F9" s="1">
        <v>4536669</v>
      </c>
      <c r="G9" s="1">
        <v>1291196</v>
      </c>
      <c r="H9" s="1">
        <v>16532</v>
      </c>
      <c r="I9" s="1">
        <v>3018567</v>
      </c>
      <c r="J9" s="1">
        <v>6288</v>
      </c>
      <c r="K9" s="1">
        <v>1291196</v>
      </c>
      <c r="L9" s="1">
        <v>16532</v>
      </c>
      <c r="M9" s="1">
        <v>66.5</v>
      </c>
      <c r="N9" s="1">
        <v>28.5</v>
      </c>
      <c r="O9" s="1">
        <v>28.5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133" customFormat="1" x14ac:dyDescent="0.35">
      <c r="A10" s="1" t="s">
        <v>195</v>
      </c>
      <c r="B10" s="1" t="s">
        <v>102</v>
      </c>
      <c r="C10" s="1" t="s">
        <v>196</v>
      </c>
      <c r="D10" s="1">
        <v>44379</v>
      </c>
      <c r="E10" s="1" t="s">
        <v>202</v>
      </c>
      <c r="F10" s="1">
        <v>4144011</v>
      </c>
      <c r="G10" s="1">
        <v>1850219</v>
      </c>
      <c r="H10" s="1">
        <v>45583</v>
      </c>
      <c r="I10" s="1">
        <v>3056483</v>
      </c>
      <c r="J10" s="1">
        <v>2974</v>
      </c>
      <c r="K10" s="1">
        <v>1850219</v>
      </c>
      <c r="L10" s="1">
        <v>45583</v>
      </c>
      <c r="M10" s="1">
        <v>73.8</v>
      </c>
      <c r="N10" s="1">
        <v>44.6</v>
      </c>
      <c r="O10" s="1">
        <v>44.6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133" customFormat="1" x14ac:dyDescent="0.35">
      <c r="A11" s="1" t="s">
        <v>195</v>
      </c>
      <c r="B11" s="1" t="s">
        <v>102</v>
      </c>
      <c r="C11" s="1" t="s">
        <v>196</v>
      </c>
      <c r="D11" s="1">
        <v>44379</v>
      </c>
      <c r="E11" s="1" t="s">
        <v>203</v>
      </c>
      <c r="F11" s="1">
        <v>4013775</v>
      </c>
      <c r="G11" s="1">
        <v>2406717</v>
      </c>
      <c r="H11" s="1">
        <v>43991</v>
      </c>
      <c r="I11" s="1">
        <v>3214929</v>
      </c>
      <c r="J11" s="1">
        <v>2056</v>
      </c>
      <c r="K11" s="1">
        <v>2406717</v>
      </c>
      <c r="L11" s="1">
        <v>43991</v>
      </c>
      <c r="M11" s="1">
        <v>80.099999999999994</v>
      </c>
      <c r="N11" s="1">
        <v>60</v>
      </c>
      <c r="O11" s="1">
        <v>60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133" customFormat="1" x14ac:dyDescent="0.35">
      <c r="A12" s="1" t="s">
        <v>195</v>
      </c>
      <c r="B12" s="1" t="s">
        <v>102</v>
      </c>
      <c r="C12" s="1" t="s">
        <v>196</v>
      </c>
      <c r="D12" s="1">
        <v>44379</v>
      </c>
      <c r="E12" s="1" t="s">
        <v>204</v>
      </c>
      <c r="F12" s="1">
        <v>4234466</v>
      </c>
      <c r="G12" s="1">
        <v>3400861</v>
      </c>
      <c r="H12" s="1">
        <v>5011</v>
      </c>
      <c r="I12" s="1">
        <v>3614858</v>
      </c>
      <c r="J12" s="1">
        <v>1149</v>
      </c>
      <c r="K12" s="1">
        <v>3400861</v>
      </c>
      <c r="L12" s="1">
        <v>5011</v>
      </c>
      <c r="M12" s="1">
        <v>85.4</v>
      </c>
      <c r="N12" s="1">
        <v>80.3</v>
      </c>
      <c r="O12" s="1">
        <v>80.3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133" customFormat="1" x14ac:dyDescent="0.35">
      <c r="A13" s="1" t="s">
        <v>195</v>
      </c>
      <c r="B13" s="1" t="s">
        <v>102</v>
      </c>
      <c r="C13" s="1" t="s">
        <v>196</v>
      </c>
      <c r="D13" s="1">
        <v>44379</v>
      </c>
      <c r="E13" s="1" t="s">
        <v>205</v>
      </c>
      <c r="F13" s="1">
        <v>4081311</v>
      </c>
      <c r="G13" s="1">
        <v>3422958</v>
      </c>
      <c r="H13" s="1">
        <v>3216</v>
      </c>
      <c r="I13" s="1">
        <v>3593949</v>
      </c>
      <c r="J13" s="1">
        <v>742</v>
      </c>
      <c r="K13" s="1">
        <v>3422958</v>
      </c>
      <c r="L13" s="1">
        <v>3216</v>
      </c>
      <c r="M13" s="1">
        <v>88.1</v>
      </c>
      <c r="N13" s="1">
        <v>83.9</v>
      </c>
      <c r="O13" s="1">
        <v>83.9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133" customFormat="1" x14ac:dyDescent="0.35">
      <c r="A14" s="1" t="s">
        <v>195</v>
      </c>
      <c r="B14" s="1" t="s">
        <v>102</v>
      </c>
      <c r="C14" s="1" t="s">
        <v>196</v>
      </c>
      <c r="D14" s="1">
        <v>44379</v>
      </c>
      <c r="E14" s="1" t="s">
        <v>206</v>
      </c>
      <c r="F14" s="1">
        <v>3451417</v>
      </c>
      <c r="G14" s="1">
        <v>2995512</v>
      </c>
      <c r="H14" s="1">
        <v>1717</v>
      </c>
      <c r="I14" s="1">
        <v>3108241</v>
      </c>
      <c r="J14" s="1">
        <v>448</v>
      </c>
      <c r="K14" s="1">
        <v>2995512</v>
      </c>
      <c r="L14" s="1">
        <v>1717</v>
      </c>
      <c r="M14" s="1">
        <v>90.1</v>
      </c>
      <c r="N14" s="1">
        <v>86.8</v>
      </c>
      <c r="O14" s="1">
        <v>86.8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133" customFormat="1" x14ac:dyDescent="0.35">
      <c r="A15" s="1" t="s">
        <v>195</v>
      </c>
      <c r="B15" s="1" t="s">
        <v>102</v>
      </c>
      <c r="C15" s="1" t="s">
        <v>196</v>
      </c>
      <c r="D15" s="1">
        <v>44379</v>
      </c>
      <c r="E15" s="1" t="s">
        <v>207</v>
      </c>
      <c r="F15" s="1">
        <v>2887471</v>
      </c>
      <c r="G15" s="1">
        <v>2601458</v>
      </c>
      <c r="H15" s="1">
        <v>835</v>
      </c>
      <c r="I15" s="1">
        <v>2659308</v>
      </c>
      <c r="J15" s="1">
        <v>266</v>
      </c>
      <c r="K15" s="1">
        <v>2601458</v>
      </c>
      <c r="L15" s="1">
        <v>835</v>
      </c>
      <c r="M15" s="1">
        <v>92.1</v>
      </c>
      <c r="N15" s="1">
        <v>90.1</v>
      </c>
      <c r="O15" s="1">
        <v>90.1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133" customFormat="1" x14ac:dyDescent="0.35">
      <c r="A16" s="1" t="s">
        <v>195</v>
      </c>
      <c r="B16" s="1" t="s">
        <v>102</v>
      </c>
      <c r="C16" s="1" t="s">
        <v>196</v>
      </c>
      <c r="D16" s="1">
        <v>44379</v>
      </c>
      <c r="E16" s="1" t="s">
        <v>208</v>
      </c>
      <c r="F16" s="1">
        <v>2862958</v>
      </c>
      <c r="G16" s="1">
        <v>2662831</v>
      </c>
      <c r="H16" s="1">
        <v>410</v>
      </c>
      <c r="I16" s="1">
        <v>2701731</v>
      </c>
      <c r="J16" s="1">
        <v>128</v>
      </c>
      <c r="K16" s="1">
        <v>2662831</v>
      </c>
      <c r="L16" s="1">
        <v>410</v>
      </c>
      <c r="M16" s="1">
        <v>94.4</v>
      </c>
      <c r="N16" s="1">
        <v>93</v>
      </c>
      <c r="O16" s="1">
        <v>93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133" customFormat="1" x14ac:dyDescent="0.35">
      <c r="A17" s="1" t="s">
        <v>195</v>
      </c>
      <c r="B17" s="1" t="s">
        <v>102</v>
      </c>
      <c r="C17" s="1" t="s">
        <v>196</v>
      </c>
      <c r="D17" s="1">
        <v>44379</v>
      </c>
      <c r="E17" s="1" t="s">
        <v>209</v>
      </c>
      <c r="F17" s="1">
        <v>2064799</v>
      </c>
      <c r="G17" s="1">
        <v>1943459</v>
      </c>
      <c r="H17" s="1">
        <v>252</v>
      </c>
      <c r="I17" s="1">
        <v>1969772</v>
      </c>
      <c r="J17" s="1">
        <v>84</v>
      </c>
      <c r="K17" s="1">
        <v>1943459</v>
      </c>
      <c r="L17" s="1">
        <v>252</v>
      </c>
      <c r="M17" s="1">
        <v>95.4</v>
      </c>
      <c r="N17" s="1">
        <v>94.1</v>
      </c>
      <c r="O17" s="1">
        <v>94.1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133" customFormat="1" x14ac:dyDescent="0.35">
      <c r="A18" s="1" t="s">
        <v>195</v>
      </c>
      <c r="B18" s="1" t="s">
        <v>102</v>
      </c>
      <c r="C18" s="1" t="s">
        <v>196</v>
      </c>
      <c r="D18" s="1">
        <v>44379</v>
      </c>
      <c r="E18" s="1" t="s">
        <v>210</v>
      </c>
      <c r="F18" s="1">
        <v>1420288</v>
      </c>
      <c r="G18" s="1">
        <v>1331154</v>
      </c>
      <c r="H18" s="1">
        <v>154</v>
      </c>
      <c r="I18" s="1">
        <v>1356622</v>
      </c>
      <c r="J18" s="1">
        <v>39</v>
      </c>
      <c r="K18" s="1">
        <v>1331154</v>
      </c>
      <c r="L18" s="1">
        <v>154</v>
      </c>
      <c r="M18" s="1">
        <v>95.5</v>
      </c>
      <c r="N18" s="1">
        <v>93.7</v>
      </c>
      <c r="O18" s="1">
        <v>93.7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133" customFormat="1" x14ac:dyDescent="0.35">
      <c r="A19" s="1" t="s">
        <v>195</v>
      </c>
      <c r="B19" s="1" t="s">
        <v>102</v>
      </c>
      <c r="C19" s="1" t="s">
        <v>196</v>
      </c>
      <c r="D19" s="1">
        <v>44379</v>
      </c>
      <c r="E19" s="1" t="s">
        <v>211</v>
      </c>
      <c r="F19" s="1">
        <v>849940</v>
      </c>
      <c r="G19" s="1">
        <v>794235</v>
      </c>
      <c r="H19" s="1">
        <v>128</v>
      </c>
      <c r="I19" s="1">
        <v>811925</v>
      </c>
      <c r="J19" s="1">
        <v>30</v>
      </c>
      <c r="K19" s="1">
        <v>794235</v>
      </c>
      <c r="L19" s="1">
        <v>128</v>
      </c>
      <c r="M19" s="1">
        <v>95.5</v>
      </c>
      <c r="N19" s="1">
        <v>93.4</v>
      </c>
      <c r="O19" s="1">
        <v>93.4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133" customFormat="1" x14ac:dyDescent="0.35">
      <c r="A20" s="1" t="s">
        <v>195</v>
      </c>
      <c r="B20" s="1" t="s">
        <v>102</v>
      </c>
      <c r="C20" s="1" t="s">
        <v>196</v>
      </c>
      <c r="D20" s="1">
        <v>44379</v>
      </c>
      <c r="E20" s="1" t="s">
        <v>142</v>
      </c>
      <c r="F20" s="1">
        <v>465304</v>
      </c>
      <c r="G20" s="1">
        <v>425639</v>
      </c>
      <c r="H20" s="1">
        <v>74</v>
      </c>
      <c r="I20" s="1">
        <v>436904</v>
      </c>
      <c r="J20" s="1">
        <v>12</v>
      </c>
      <c r="K20" s="1">
        <v>425639</v>
      </c>
      <c r="L20" s="1">
        <v>74</v>
      </c>
      <c r="M20" s="1">
        <v>93.9</v>
      </c>
      <c r="N20" s="1">
        <v>91.5</v>
      </c>
      <c r="O20" s="1">
        <v>91.5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35"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35"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9" spans="1:62" x14ac:dyDescent="0.35">
      <c r="L29" s="82" t="s">
        <v>212</v>
      </c>
    </row>
    <row r="30" spans="1:62" x14ac:dyDescent="0.35">
      <c r="A30" s="82" t="s">
        <v>104</v>
      </c>
      <c r="B30" s="82" t="s">
        <v>13</v>
      </c>
      <c r="C30" s="82" t="s">
        <v>106</v>
      </c>
      <c r="D30" s="82" t="s">
        <v>103</v>
      </c>
      <c r="E30" s="82" t="s">
        <v>7</v>
      </c>
      <c r="F30" s="82" t="s">
        <v>173</v>
      </c>
      <c r="G30" s="82" t="s">
        <v>174</v>
      </c>
      <c r="H30" s="82" t="s">
        <v>175</v>
      </c>
      <c r="K30" s="82" t="s">
        <v>215</v>
      </c>
      <c r="L30" s="82" t="s">
        <v>13</v>
      </c>
      <c r="M30" s="82" t="s">
        <v>213</v>
      </c>
      <c r="N30" s="82" t="s">
        <v>214</v>
      </c>
    </row>
    <row r="31" spans="1:62" x14ac:dyDescent="0.35">
      <c r="A31" s="1">
        <v>16</v>
      </c>
      <c r="B31" s="123">
        <f t="shared" ref="B31:B43" si="0">F5</f>
        <v>1359778</v>
      </c>
      <c r="C31" s="123">
        <f>I5-D31</f>
        <v>100282</v>
      </c>
      <c r="D31" s="123">
        <f>K5</f>
        <v>62370</v>
      </c>
      <c r="E31" s="123">
        <f>B31-C31-D31</f>
        <v>1197126</v>
      </c>
      <c r="F31" s="130">
        <f t="shared" ref="F31:F44" si="1">C31/B31</f>
        <v>7.3748803113449404E-2</v>
      </c>
      <c r="G31" s="130">
        <f t="shared" ref="G31:G44" si="2">D31/B31</f>
        <v>4.5867781358427624E-2</v>
      </c>
      <c r="H31" s="130">
        <f>1-G31-F31</f>
        <v>0.88038341552812294</v>
      </c>
      <c r="K31" s="123">
        <f>'NIMS Week 26 vaccines'!C35</f>
        <v>12535340</v>
      </c>
      <c r="L31" s="123">
        <f t="shared" ref="L31:L44" si="3">K31-B31</f>
        <v>11175562</v>
      </c>
      <c r="M31" s="130">
        <f>F31-'NIMS Week 26 vaccines'!H35</f>
        <v>6.5060406947090935E-2</v>
      </c>
      <c r="N31" s="130">
        <f>G31-'NIMS Week 26 vaccines'!I35</f>
        <v>4.073987896407693E-2</v>
      </c>
    </row>
    <row r="32" spans="1:62" x14ac:dyDescent="0.35">
      <c r="A32" s="1">
        <v>21</v>
      </c>
      <c r="B32" s="123">
        <f t="shared" si="0"/>
        <v>5323227</v>
      </c>
      <c r="C32" s="123">
        <f t="shared" ref="C32:C43" si="4">I6-D32</f>
        <v>1810829</v>
      </c>
      <c r="D32" s="123">
        <f t="shared" ref="D32:D43" si="5">K6</f>
        <v>802568</v>
      </c>
      <c r="E32" s="123">
        <f t="shared" ref="E32:E44" si="6">B32-C32-D32</f>
        <v>2709830</v>
      </c>
      <c r="F32" s="130">
        <f t="shared" si="1"/>
        <v>0.34017504795493408</v>
      </c>
      <c r="G32" s="130">
        <f t="shared" si="2"/>
        <v>0.15076719441045816</v>
      </c>
      <c r="H32" s="130">
        <f t="shared" ref="H32:H44" si="7">1-G32-F32</f>
        <v>0.50905775763460781</v>
      </c>
      <c r="K32" s="123">
        <f>'NIMS Week 26 vaccines'!C36</f>
        <v>5223481</v>
      </c>
      <c r="L32" s="123">
        <f t="shared" si="3"/>
        <v>-99746</v>
      </c>
      <c r="M32" s="130">
        <f>F32-'NIMS Week 26 vaccines'!H36</f>
        <v>-2.0903895378065473E-2</v>
      </c>
      <c r="N32" s="130">
        <f>G32-'NIMS Week 26 vaccines'!I36</f>
        <v>-3.1468334188763381E-3</v>
      </c>
    </row>
    <row r="33" spans="1:14" x14ac:dyDescent="0.35">
      <c r="A33" s="1">
        <v>27</v>
      </c>
      <c r="B33" s="123">
        <f t="shared" si="0"/>
        <v>4499079</v>
      </c>
      <c r="C33" s="123">
        <f t="shared" si="4"/>
        <v>1606584</v>
      </c>
      <c r="D33" s="123">
        <f t="shared" si="5"/>
        <v>844954</v>
      </c>
      <c r="E33" s="123">
        <f t="shared" si="6"/>
        <v>2047541</v>
      </c>
      <c r="F33" s="130">
        <f t="shared" si="1"/>
        <v>0.35709175144512911</v>
      </c>
      <c r="G33" s="130">
        <f t="shared" si="2"/>
        <v>0.18780599318216018</v>
      </c>
      <c r="H33" s="130">
        <f t="shared" si="7"/>
        <v>0.45510225537271071</v>
      </c>
      <c r="K33" s="123">
        <f>'NIMS Week 26 vaccines'!C37</f>
        <v>4432950</v>
      </c>
      <c r="L33" s="123">
        <f t="shared" si="3"/>
        <v>-66129</v>
      </c>
      <c r="M33" s="130">
        <f>F33-'NIMS Week 26 vaccines'!H37</f>
        <v>-7.6556515258044411E-3</v>
      </c>
      <c r="N33" s="130">
        <f>G33-'NIMS Week 26 vaccines'!I37</f>
        <v>-3.1163046105061043E-3</v>
      </c>
    </row>
    <row r="34" spans="1:14" x14ac:dyDescent="0.35">
      <c r="A34" s="1">
        <v>32</v>
      </c>
      <c r="B34" s="123">
        <f t="shared" si="0"/>
        <v>4789104</v>
      </c>
      <c r="C34" s="123">
        <f t="shared" si="4"/>
        <v>1800852</v>
      </c>
      <c r="D34" s="123">
        <f t="shared" si="5"/>
        <v>1084417</v>
      </c>
      <c r="E34" s="123">
        <f t="shared" si="6"/>
        <v>1903835</v>
      </c>
      <c r="F34" s="130">
        <f t="shared" si="1"/>
        <v>0.37603109057560663</v>
      </c>
      <c r="G34" s="130">
        <f t="shared" si="2"/>
        <v>0.22643421399911132</v>
      </c>
      <c r="H34" s="130">
        <f t="shared" si="7"/>
        <v>0.39753469542528203</v>
      </c>
      <c r="K34" s="123">
        <f>'NIMS Week 26 vaccines'!C38</f>
        <v>4741565</v>
      </c>
      <c r="L34" s="123">
        <f t="shared" si="3"/>
        <v>-47539</v>
      </c>
      <c r="M34" s="130">
        <f>F34-'NIMS Week 26 vaccines'!H38</f>
        <v>-1.6562341789839174E-3</v>
      </c>
      <c r="N34" s="130">
        <f>G34-'NIMS Week 26 vaccines'!I38</f>
        <v>-4.3469732249381277E-3</v>
      </c>
    </row>
    <row r="35" spans="1:14" x14ac:dyDescent="0.35">
      <c r="A35" s="1">
        <v>37</v>
      </c>
      <c r="B35" s="123">
        <f t="shared" si="0"/>
        <v>4536669</v>
      </c>
      <c r="C35" s="123">
        <f t="shared" si="4"/>
        <v>1727371</v>
      </c>
      <c r="D35" s="123">
        <f t="shared" si="5"/>
        <v>1291196</v>
      </c>
      <c r="E35" s="123">
        <f t="shared" si="6"/>
        <v>1518102</v>
      </c>
      <c r="F35" s="130">
        <f t="shared" si="1"/>
        <v>0.38075755581903814</v>
      </c>
      <c r="G35" s="130">
        <f t="shared" si="2"/>
        <v>0.28461322613573969</v>
      </c>
      <c r="H35" s="130">
        <f t="shared" si="7"/>
        <v>0.33462921804522217</v>
      </c>
      <c r="K35" s="123">
        <f>'NIMS Week 26 vaccines'!C39</f>
        <v>4503633</v>
      </c>
      <c r="L35" s="123">
        <f t="shared" si="3"/>
        <v>-33036</v>
      </c>
      <c r="M35" s="130">
        <f>F35-'NIMS Week 26 vaccines'!H39</f>
        <v>3.0804671219795687E-3</v>
      </c>
      <c r="N35" s="130">
        <f>G35-'NIMS Week 26 vaccines'!I39</f>
        <v>-7.2291597780325678E-3</v>
      </c>
    </row>
    <row r="36" spans="1:14" x14ac:dyDescent="0.35">
      <c r="A36" s="1">
        <v>42</v>
      </c>
      <c r="B36" s="123">
        <f t="shared" si="0"/>
        <v>4144011</v>
      </c>
      <c r="C36" s="123">
        <f t="shared" si="4"/>
        <v>1206264</v>
      </c>
      <c r="D36" s="123">
        <f t="shared" si="5"/>
        <v>1850219</v>
      </c>
      <c r="E36" s="123">
        <f t="shared" si="6"/>
        <v>1087528</v>
      </c>
      <c r="F36" s="130">
        <f t="shared" si="1"/>
        <v>0.29108609991624057</v>
      </c>
      <c r="G36" s="130">
        <f t="shared" si="2"/>
        <v>0.44648023376385826</v>
      </c>
      <c r="H36" s="130">
        <f t="shared" si="7"/>
        <v>0.26243366631990117</v>
      </c>
      <c r="K36" s="123">
        <f>'NIMS Week 26 vaccines'!C40</f>
        <v>4119767</v>
      </c>
      <c r="L36" s="123">
        <f t="shared" si="3"/>
        <v>-24244</v>
      </c>
      <c r="M36" s="130">
        <f>F36-'NIMS Week 26 vaccines'!H40</f>
        <v>1.747693706795328E-2</v>
      </c>
      <c r="N36" s="130">
        <f>G36-'NIMS Week 26 vaccines'!I40</f>
        <v>-2.0696672114556725E-2</v>
      </c>
    </row>
    <row r="37" spans="1:14" x14ac:dyDescent="0.35">
      <c r="A37" s="1">
        <v>47</v>
      </c>
      <c r="B37" s="123">
        <f t="shared" si="0"/>
        <v>4013775</v>
      </c>
      <c r="C37" s="123">
        <f t="shared" si="4"/>
        <v>808212</v>
      </c>
      <c r="D37" s="123">
        <f t="shared" si="5"/>
        <v>2406717</v>
      </c>
      <c r="E37" s="123">
        <f t="shared" si="6"/>
        <v>798846</v>
      </c>
      <c r="F37" s="130">
        <f t="shared" si="1"/>
        <v>0.20135956798774221</v>
      </c>
      <c r="G37" s="130">
        <f t="shared" si="2"/>
        <v>0.59961432815740789</v>
      </c>
      <c r="H37" s="130">
        <f t="shared" si="7"/>
        <v>0.1990261038548499</v>
      </c>
      <c r="K37" s="123">
        <f>'NIMS Week 26 vaccines'!C41</f>
        <v>3995609</v>
      </c>
      <c r="L37" s="123">
        <f t="shared" si="3"/>
        <v>-18166</v>
      </c>
      <c r="M37" s="130">
        <f>F37-'NIMS Week 26 vaccines'!H41</f>
        <v>1.695613912370672E-2</v>
      </c>
      <c r="N37" s="130">
        <f>G37-'NIMS Week 26 vaccines'!I41</f>
        <v>-1.9662482961998462E-2</v>
      </c>
    </row>
    <row r="38" spans="1:14" x14ac:dyDescent="0.35">
      <c r="A38" s="1">
        <v>52</v>
      </c>
      <c r="B38" s="123">
        <f t="shared" si="0"/>
        <v>4234466</v>
      </c>
      <c r="C38" s="123">
        <f t="shared" si="4"/>
        <v>213997</v>
      </c>
      <c r="D38" s="123">
        <f t="shared" si="5"/>
        <v>3400861</v>
      </c>
      <c r="E38" s="123">
        <f t="shared" si="6"/>
        <v>619608</v>
      </c>
      <c r="F38" s="130">
        <f t="shared" si="1"/>
        <v>5.0536950822134365E-2</v>
      </c>
      <c r="G38" s="130">
        <f t="shared" si="2"/>
        <v>0.80313810525341334</v>
      </c>
      <c r="H38" s="130">
        <f t="shared" si="7"/>
        <v>0.14632494392445231</v>
      </c>
      <c r="K38" s="123">
        <f>'NIMS Week 26 vaccines'!C42</f>
        <v>4223218</v>
      </c>
      <c r="L38" s="123">
        <f t="shared" si="3"/>
        <v>-11248</v>
      </c>
      <c r="M38" s="130">
        <f>F38-'NIMS Week 26 vaccines'!H42</f>
        <v>3.9319788302490111E-4</v>
      </c>
      <c r="N38" s="130">
        <f>G38-'NIMS Week 26 vaccines'!I42</f>
        <v>-1.9733050502934724E-3</v>
      </c>
    </row>
    <row r="39" spans="1:14" x14ac:dyDescent="0.35">
      <c r="A39" s="1">
        <v>57</v>
      </c>
      <c r="B39" s="123">
        <f t="shared" si="0"/>
        <v>4081311</v>
      </c>
      <c r="C39" s="123">
        <f t="shared" si="4"/>
        <v>170991</v>
      </c>
      <c r="D39" s="123">
        <f t="shared" si="5"/>
        <v>3422958</v>
      </c>
      <c r="E39" s="123">
        <f t="shared" si="6"/>
        <v>487362</v>
      </c>
      <c r="F39" s="130">
        <f t="shared" si="1"/>
        <v>4.1896096621894287E-2</v>
      </c>
      <c r="G39" s="130">
        <f t="shared" si="2"/>
        <v>0.83869080302873267</v>
      </c>
      <c r="H39" s="130">
        <f t="shared" si="7"/>
        <v>0.11941310034937305</v>
      </c>
      <c r="K39" s="123">
        <f>'NIMS Week 26 vaccines'!C43</f>
        <v>4075327</v>
      </c>
      <c r="L39" s="123">
        <f t="shared" si="3"/>
        <v>-5984</v>
      </c>
      <c r="M39" s="130">
        <f>F39-'NIMS Week 26 vaccines'!H43</f>
        <v>-2.2641281109109235E-4</v>
      </c>
      <c r="N39" s="130">
        <f>G39-'NIMS Week 26 vaccines'!I43</f>
        <v>-9.3286398007419447E-4</v>
      </c>
    </row>
    <row r="40" spans="1:14" x14ac:dyDescent="0.35">
      <c r="A40" s="1">
        <v>62</v>
      </c>
      <c r="B40" s="123">
        <f t="shared" si="0"/>
        <v>3451417</v>
      </c>
      <c r="C40" s="123">
        <f t="shared" si="4"/>
        <v>112729</v>
      </c>
      <c r="D40" s="123">
        <f t="shared" si="5"/>
        <v>2995512</v>
      </c>
      <c r="E40" s="123">
        <f t="shared" si="6"/>
        <v>343176</v>
      </c>
      <c r="F40" s="130">
        <f t="shared" si="1"/>
        <v>3.2661657516318658E-2</v>
      </c>
      <c r="G40" s="130">
        <f t="shared" si="2"/>
        <v>0.86790787667789782</v>
      </c>
      <c r="H40" s="130">
        <f t="shared" si="7"/>
        <v>9.9430465805783519E-2</v>
      </c>
      <c r="K40" s="123">
        <f>'NIMS Week 26 vaccines'!C44</f>
        <v>3449617</v>
      </c>
      <c r="L40" s="123">
        <f t="shared" si="3"/>
        <v>-1800</v>
      </c>
      <c r="M40" s="130">
        <f>F40-'NIMS Week 26 vaccines'!H44</f>
        <v>-5.2579488781780148E-4</v>
      </c>
      <c r="N40" s="130">
        <f>G40-'NIMS Week 26 vaccines'!I44</f>
        <v>-5.0476159469881043E-4</v>
      </c>
    </row>
    <row r="41" spans="1:14" x14ac:dyDescent="0.35">
      <c r="A41" s="1">
        <v>67</v>
      </c>
      <c r="B41" s="123">
        <f t="shared" si="0"/>
        <v>2887471</v>
      </c>
      <c r="C41" s="123">
        <f t="shared" si="4"/>
        <v>57850</v>
      </c>
      <c r="D41" s="123">
        <f t="shared" si="5"/>
        <v>2601458</v>
      </c>
      <c r="E41" s="123">
        <f t="shared" si="6"/>
        <v>228163</v>
      </c>
      <c r="F41" s="130">
        <f t="shared" si="1"/>
        <v>2.0034833250273335E-2</v>
      </c>
      <c r="G41" s="130">
        <f t="shared" si="2"/>
        <v>0.90094688396870481</v>
      </c>
      <c r="H41" s="130">
        <f t="shared" si="7"/>
        <v>7.9018282781021854E-2</v>
      </c>
      <c r="K41" s="123">
        <f>'NIMS Week 26 vaccines'!C45</f>
        <v>2890321</v>
      </c>
      <c r="L41" s="123">
        <f t="shared" si="3"/>
        <v>2850</v>
      </c>
      <c r="M41" s="130">
        <f>F41-'NIMS Week 26 vaccines'!H45</f>
        <v>-5.0025610485365454E-4</v>
      </c>
      <c r="N41" s="130">
        <f>G41-'NIMS Week 26 vaccines'!I45</f>
        <v>-1.1081861865480658E-4</v>
      </c>
    </row>
    <row r="42" spans="1:14" x14ac:dyDescent="0.35">
      <c r="A42" s="1">
        <v>72</v>
      </c>
      <c r="B42" s="123">
        <f t="shared" si="0"/>
        <v>2862958</v>
      </c>
      <c r="C42" s="123">
        <f t="shared" si="4"/>
        <v>38900</v>
      </c>
      <c r="D42" s="123">
        <f t="shared" si="5"/>
        <v>2662831</v>
      </c>
      <c r="E42" s="123">
        <f t="shared" si="6"/>
        <v>161227</v>
      </c>
      <c r="F42" s="130">
        <f t="shared" si="1"/>
        <v>1.3587345675346967E-2</v>
      </c>
      <c r="G42" s="130">
        <f t="shared" si="2"/>
        <v>0.93009782190308066</v>
      </c>
      <c r="H42" s="130">
        <f t="shared" si="7"/>
        <v>5.6314832421572376E-2</v>
      </c>
      <c r="K42" s="123">
        <f>'NIMS Week 26 vaccines'!C46</f>
        <v>2872687</v>
      </c>
      <c r="L42" s="123">
        <f t="shared" si="3"/>
        <v>9729</v>
      </c>
      <c r="M42" s="130">
        <f>F42-'NIMS Week 26 vaccines'!H46</f>
        <v>-8.1867906734167314E-4</v>
      </c>
      <c r="N42" s="130">
        <f>G42-'NIMS Week 26 vaccines'!I46</f>
        <v>5.1969522238071164E-4</v>
      </c>
    </row>
    <row r="43" spans="1:14" x14ac:dyDescent="0.35">
      <c r="A43" s="1">
        <v>77</v>
      </c>
      <c r="B43" s="123">
        <f t="shared" si="0"/>
        <v>2064799</v>
      </c>
      <c r="C43" s="123">
        <f t="shared" si="4"/>
        <v>26313</v>
      </c>
      <c r="D43" s="123">
        <f t="shared" si="5"/>
        <v>1943459</v>
      </c>
      <c r="E43" s="123">
        <f t="shared" si="6"/>
        <v>95027</v>
      </c>
      <c r="F43" s="130">
        <f t="shared" si="1"/>
        <v>1.2743613300858825E-2</v>
      </c>
      <c r="G43" s="130">
        <f t="shared" si="2"/>
        <v>0.94123398936167635</v>
      </c>
      <c r="H43" s="130">
        <f t="shared" si="7"/>
        <v>4.6022397337464827E-2</v>
      </c>
      <c r="K43" s="123">
        <f>'NIMS Week 26 vaccines'!C47</f>
        <v>2079085</v>
      </c>
      <c r="L43" s="123">
        <f t="shared" si="3"/>
        <v>14286</v>
      </c>
      <c r="M43" s="130">
        <f>F43-'NIMS Week 26 vaccines'!H47</f>
        <v>-9.3115228111593888E-4</v>
      </c>
      <c r="N43" s="130">
        <f>G43-'NIMS Week 26 vaccines'!I47</f>
        <v>8.1164010707635015E-4</v>
      </c>
    </row>
    <row r="44" spans="1:14" x14ac:dyDescent="0.35">
      <c r="A44" s="1">
        <v>90</v>
      </c>
      <c r="B44" s="123">
        <f>F20+F19+F18</f>
        <v>2735532</v>
      </c>
      <c r="C44" s="123">
        <f>I18+I19+I20-D44</f>
        <v>54423</v>
      </c>
      <c r="D44" s="123">
        <f>K18+K19+K20</f>
        <v>2551028</v>
      </c>
      <c r="E44" s="123">
        <f t="shared" si="6"/>
        <v>130081</v>
      </c>
      <c r="F44" s="130">
        <f t="shared" si="1"/>
        <v>1.989485043494282E-2</v>
      </c>
      <c r="G44" s="130">
        <f t="shared" si="2"/>
        <v>0.93255279046269612</v>
      </c>
      <c r="H44" s="130">
        <f t="shared" si="7"/>
        <v>4.7552359102361053E-2</v>
      </c>
      <c r="K44" s="123">
        <f>'NIMS Week 26 vaccines'!C48</f>
        <v>2798871</v>
      </c>
      <c r="L44" s="123">
        <f t="shared" si="3"/>
        <v>63339</v>
      </c>
      <c r="M44" s="130">
        <f>F44-'NIMS Week 26 vaccines'!H48</f>
        <v>-1.4469691773222673E-3</v>
      </c>
      <c r="N44" s="130">
        <f>G44-'NIMS Week 26 vaccines'!I48</f>
        <v>1.5145253908153133E-3</v>
      </c>
    </row>
    <row r="45" spans="1:14" x14ac:dyDescent="0.35">
      <c r="A45" s="1"/>
      <c r="B45" s="1"/>
      <c r="C45" s="1"/>
      <c r="D45" s="1"/>
      <c r="E45" s="1"/>
      <c r="F45" s="1"/>
      <c r="G45" s="1"/>
    </row>
    <row r="46" spans="1:14" x14ac:dyDescent="0.35">
      <c r="A46" s="82" t="s">
        <v>176</v>
      </c>
      <c r="B46" s="171">
        <f>SUM(B31:B44)</f>
        <v>50983597</v>
      </c>
      <c r="C46" s="171">
        <f>SUM(C31:C44)</f>
        <v>9735597</v>
      </c>
      <c r="D46" s="171">
        <f>SUM(D31:D44)</f>
        <v>27920548</v>
      </c>
      <c r="E46" s="171">
        <f>SUM(E31:E44)</f>
        <v>13327452</v>
      </c>
      <c r="F46" s="1"/>
      <c r="G46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0E116-9697-4277-B58C-2B76FB251E3C}">
  <dimension ref="A1:AD103"/>
  <sheetViews>
    <sheetView zoomScale="115" zoomScaleNormal="115" workbookViewId="0">
      <selection activeCell="I6" sqref="I6"/>
    </sheetView>
  </sheetViews>
  <sheetFormatPr defaultRowHeight="14.5" x14ac:dyDescent="0.35"/>
  <cols>
    <col min="2" max="2" width="22.1796875" customWidth="1"/>
    <col min="3" max="4" width="9.1796875" style="1"/>
    <col min="7" max="7" width="9.1796875" customWidth="1"/>
    <col min="29" max="29" width="23.81640625" customWidth="1"/>
    <col min="30" max="31" width="18.81640625" customWidth="1"/>
  </cols>
  <sheetData>
    <row r="1" spans="1:30" ht="17" x14ac:dyDescent="0.4">
      <c r="A1" s="90" t="s">
        <v>75</v>
      </c>
      <c r="B1" s="90"/>
      <c r="C1" s="90" t="s">
        <v>78</v>
      </c>
      <c r="J1" s="94"/>
    </row>
    <row r="2" spans="1:30" x14ac:dyDescent="0.35">
      <c r="A2" s="91" t="s">
        <v>76</v>
      </c>
      <c r="B2" s="91" t="s">
        <v>77</v>
      </c>
      <c r="C2" s="91" t="s">
        <v>76</v>
      </c>
      <c r="D2" s="91" t="s">
        <v>77</v>
      </c>
      <c r="F2" s="93" t="s">
        <v>79</v>
      </c>
      <c r="G2" s="93" t="s">
        <v>108</v>
      </c>
      <c r="I2" s="93" t="s">
        <v>80</v>
      </c>
    </row>
    <row r="3" spans="1:30" x14ac:dyDescent="0.35">
      <c r="A3" s="1">
        <v>0</v>
      </c>
      <c r="B3" s="92">
        <v>4.3210000000000002E-3</v>
      </c>
      <c r="C3" s="1">
        <v>0</v>
      </c>
      <c r="D3" s="92">
        <v>3.5820000000000001E-3</v>
      </c>
      <c r="E3" s="1"/>
      <c r="F3">
        <f>(B3+D3)/2</f>
        <v>3.9515000000000002E-3</v>
      </c>
      <c r="G3">
        <f>F3/52</f>
        <v>7.5990384615384621E-5</v>
      </c>
    </row>
    <row r="4" spans="1:30" x14ac:dyDescent="0.35">
      <c r="A4" s="1">
        <v>1</v>
      </c>
      <c r="B4" s="92">
        <v>2.42E-4</v>
      </c>
      <c r="C4" s="1">
        <v>1</v>
      </c>
      <c r="D4" s="92">
        <v>2.13E-4</v>
      </c>
      <c r="E4" s="1"/>
      <c r="F4" s="1">
        <f t="shared" ref="F4:F67" si="0">(B4+D4)/2</f>
        <v>2.275E-4</v>
      </c>
      <c r="G4" s="1">
        <f t="shared" ref="G4:G67" si="1">F4/52</f>
        <v>4.3749999999999996E-6</v>
      </c>
    </row>
    <row r="5" spans="1:30" x14ac:dyDescent="0.35">
      <c r="A5" s="1">
        <v>2</v>
      </c>
      <c r="B5" s="92">
        <v>1.3200000000000001E-4</v>
      </c>
      <c r="C5" s="1">
        <v>2</v>
      </c>
      <c r="D5" s="92">
        <v>1.25E-4</v>
      </c>
      <c r="E5" s="1"/>
      <c r="F5" s="1">
        <f t="shared" si="0"/>
        <v>1.2850000000000001E-4</v>
      </c>
      <c r="G5" s="1">
        <f t="shared" si="1"/>
        <v>2.4711538461538464E-6</v>
      </c>
      <c r="I5" s="94" t="s">
        <v>273</v>
      </c>
      <c r="AB5" s="92"/>
      <c r="AC5" s="95"/>
      <c r="AD5" s="95"/>
    </row>
    <row r="6" spans="1:30" x14ac:dyDescent="0.35">
      <c r="A6" s="1">
        <v>3</v>
      </c>
      <c r="B6" s="92">
        <v>1.02E-4</v>
      </c>
      <c r="C6" s="1">
        <v>3</v>
      </c>
      <c r="D6" s="92">
        <v>9.7999999999999997E-5</v>
      </c>
      <c r="F6" s="1">
        <f t="shared" si="0"/>
        <v>9.9999999999999991E-5</v>
      </c>
      <c r="G6" s="1">
        <f t="shared" si="1"/>
        <v>1.923076923076923E-6</v>
      </c>
      <c r="AB6" s="92"/>
      <c r="AC6" s="95"/>
      <c r="AD6" s="95"/>
    </row>
    <row r="7" spans="1:30" x14ac:dyDescent="0.35">
      <c r="A7" s="1">
        <v>4</v>
      </c>
      <c r="B7" s="92">
        <v>9.3999999999999994E-5</v>
      </c>
      <c r="C7" s="1">
        <v>4</v>
      </c>
      <c r="D7" s="92">
        <v>6.3999999999999997E-5</v>
      </c>
      <c r="E7" s="1"/>
      <c r="F7" s="1">
        <f t="shared" si="0"/>
        <v>7.8999999999999996E-5</v>
      </c>
      <c r="G7" s="1">
        <f t="shared" si="1"/>
        <v>1.5192307692307692E-6</v>
      </c>
      <c r="AB7" s="92"/>
      <c r="AC7" s="95"/>
      <c r="AD7" s="95"/>
    </row>
    <row r="8" spans="1:30" x14ac:dyDescent="0.35">
      <c r="A8" s="1">
        <v>5</v>
      </c>
      <c r="B8" s="92">
        <v>8.8999999999999995E-5</v>
      </c>
      <c r="C8" s="1">
        <v>5</v>
      </c>
      <c r="D8" s="92">
        <v>8.5000000000000006E-5</v>
      </c>
      <c r="E8" s="1"/>
      <c r="F8" s="1">
        <f t="shared" si="0"/>
        <v>8.7000000000000001E-5</v>
      </c>
      <c r="G8" s="1">
        <f t="shared" si="1"/>
        <v>1.673076923076923E-6</v>
      </c>
      <c r="AB8" s="92"/>
      <c r="AC8" s="95"/>
      <c r="AD8" s="95"/>
    </row>
    <row r="9" spans="1:30" x14ac:dyDescent="0.35">
      <c r="A9" s="1">
        <v>6</v>
      </c>
      <c r="B9" s="92">
        <v>8.2999999999999998E-5</v>
      </c>
      <c r="C9" s="1">
        <v>6</v>
      </c>
      <c r="D9" s="92">
        <v>7.8999999999999996E-5</v>
      </c>
      <c r="E9" s="1"/>
      <c r="F9" s="1">
        <f t="shared" si="0"/>
        <v>8.099999999999999E-5</v>
      </c>
      <c r="G9" s="1">
        <f t="shared" si="1"/>
        <v>1.5576923076923074E-6</v>
      </c>
      <c r="AB9" s="92"/>
      <c r="AC9" s="95"/>
      <c r="AD9" s="95"/>
    </row>
    <row r="10" spans="1:30" x14ac:dyDescent="0.35">
      <c r="A10" s="1">
        <v>7</v>
      </c>
      <c r="B10" s="92">
        <v>7.2999999999999999E-5</v>
      </c>
      <c r="C10" s="1">
        <v>7</v>
      </c>
      <c r="D10" s="92">
        <v>6.0999999999999999E-5</v>
      </c>
      <c r="E10" s="1"/>
      <c r="F10" s="1">
        <f t="shared" si="0"/>
        <v>6.7000000000000002E-5</v>
      </c>
      <c r="G10" s="1">
        <f t="shared" si="1"/>
        <v>1.2884615384615386E-6</v>
      </c>
      <c r="AB10" s="92"/>
      <c r="AC10" s="95"/>
      <c r="AD10" s="95"/>
    </row>
    <row r="11" spans="1:30" x14ac:dyDescent="0.35">
      <c r="A11" s="1">
        <v>8</v>
      </c>
      <c r="B11" s="92">
        <v>6.3999999999999997E-5</v>
      </c>
      <c r="C11" s="1">
        <v>8</v>
      </c>
      <c r="D11" s="92">
        <v>6.3999999999999997E-5</v>
      </c>
      <c r="E11" s="1"/>
      <c r="F11" s="1">
        <f t="shared" si="0"/>
        <v>6.3999999999999997E-5</v>
      </c>
      <c r="G11" s="1">
        <f t="shared" si="1"/>
        <v>1.2307692307692308E-6</v>
      </c>
      <c r="AB11" s="92"/>
      <c r="AC11" s="95"/>
      <c r="AD11" s="95"/>
    </row>
    <row r="12" spans="1:30" x14ac:dyDescent="0.35">
      <c r="A12" s="1">
        <v>9</v>
      </c>
      <c r="B12" s="92">
        <v>6.2000000000000003E-5</v>
      </c>
      <c r="C12" s="1">
        <v>9</v>
      </c>
      <c r="D12" s="92">
        <v>5.5999999999999999E-5</v>
      </c>
      <c r="E12" s="1"/>
      <c r="F12" s="1">
        <f t="shared" si="0"/>
        <v>5.8999999999999998E-5</v>
      </c>
      <c r="G12" s="1">
        <f t="shared" si="1"/>
        <v>1.1346153846153845E-6</v>
      </c>
      <c r="AB12" s="92"/>
      <c r="AC12" s="95"/>
      <c r="AD12" s="1"/>
    </row>
    <row r="13" spans="1:30" x14ac:dyDescent="0.35">
      <c r="A13" s="1">
        <v>10</v>
      </c>
      <c r="B13" s="92">
        <v>7.2000000000000002E-5</v>
      </c>
      <c r="C13" s="1">
        <v>10</v>
      </c>
      <c r="D13" s="92">
        <v>6.3999999999999997E-5</v>
      </c>
      <c r="E13" s="1"/>
      <c r="F13" s="1">
        <f t="shared" si="0"/>
        <v>6.7999999999999999E-5</v>
      </c>
      <c r="G13" s="1">
        <f t="shared" si="1"/>
        <v>1.3076923076923077E-6</v>
      </c>
    </row>
    <row r="14" spans="1:30" x14ac:dyDescent="0.35">
      <c r="A14" s="1">
        <v>11</v>
      </c>
      <c r="B14" s="92">
        <v>8.1000000000000004E-5</v>
      </c>
      <c r="C14" s="1">
        <v>11</v>
      </c>
      <c r="D14" s="92">
        <v>6.2000000000000003E-5</v>
      </c>
      <c r="E14" s="1"/>
      <c r="F14" s="1">
        <f t="shared" si="0"/>
        <v>7.1500000000000003E-5</v>
      </c>
      <c r="G14" s="1">
        <f t="shared" si="1"/>
        <v>1.375E-6</v>
      </c>
    </row>
    <row r="15" spans="1:30" x14ac:dyDescent="0.35">
      <c r="A15" s="1">
        <v>12</v>
      </c>
      <c r="B15" s="92">
        <v>1.05E-4</v>
      </c>
      <c r="C15" s="1">
        <v>12</v>
      </c>
      <c r="D15" s="92">
        <v>5.7000000000000003E-5</v>
      </c>
      <c r="E15" s="1"/>
      <c r="F15" s="1">
        <f t="shared" si="0"/>
        <v>8.1000000000000004E-5</v>
      </c>
      <c r="G15" s="1">
        <f t="shared" si="1"/>
        <v>1.5576923076923078E-6</v>
      </c>
    </row>
    <row r="16" spans="1:30" x14ac:dyDescent="0.35">
      <c r="A16" s="1">
        <v>13</v>
      </c>
      <c r="B16" s="92">
        <v>1.25E-4</v>
      </c>
      <c r="C16" s="1">
        <v>13</v>
      </c>
      <c r="D16" s="92">
        <v>7.8999999999999996E-5</v>
      </c>
      <c r="E16" s="1"/>
      <c r="F16" s="1">
        <f t="shared" si="0"/>
        <v>1.02E-4</v>
      </c>
      <c r="G16" s="1">
        <f t="shared" si="1"/>
        <v>1.9615384615384617E-6</v>
      </c>
    </row>
    <row r="17" spans="1:7" x14ac:dyDescent="0.35">
      <c r="A17" s="1">
        <v>14</v>
      </c>
      <c r="B17" s="92">
        <v>1.16E-4</v>
      </c>
      <c r="C17" s="1">
        <v>14</v>
      </c>
      <c r="D17" s="92">
        <v>9.2E-5</v>
      </c>
      <c r="E17" s="1"/>
      <c r="F17" s="1">
        <f t="shared" si="0"/>
        <v>1.0400000000000001E-4</v>
      </c>
      <c r="G17" s="1">
        <f t="shared" si="1"/>
        <v>2.0000000000000003E-6</v>
      </c>
    </row>
    <row r="18" spans="1:7" x14ac:dyDescent="0.35">
      <c r="A18" s="1">
        <v>15</v>
      </c>
      <c r="B18" s="92">
        <v>1.6899999999999999E-4</v>
      </c>
      <c r="C18" s="1">
        <v>15</v>
      </c>
      <c r="D18" s="92">
        <v>9.7999999999999997E-5</v>
      </c>
      <c r="E18" s="1"/>
      <c r="F18" s="1">
        <f t="shared" si="0"/>
        <v>1.3349999999999999E-4</v>
      </c>
      <c r="G18" s="1">
        <f t="shared" si="1"/>
        <v>2.5673076923076923E-6</v>
      </c>
    </row>
    <row r="19" spans="1:7" x14ac:dyDescent="0.35">
      <c r="A19" s="1">
        <v>16</v>
      </c>
      <c r="B19" s="92">
        <v>2.2000000000000001E-4</v>
      </c>
      <c r="C19" s="1">
        <v>16</v>
      </c>
      <c r="D19" s="92">
        <v>1.4799999999999999E-4</v>
      </c>
      <c r="E19" s="1"/>
      <c r="F19" s="1">
        <f t="shared" si="0"/>
        <v>1.84E-4</v>
      </c>
      <c r="G19" s="1">
        <f t="shared" si="1"/>
        <v>3.5384615384615386E-6</v>
      </c>
    </row>
    <row r="20" spans="1:7" x14ac:dyDescent="0.35">
      <c r="A20" s="1">
        <v>17</v>
      </c>
      <c r="B20" s="92">
        <v>3.0299999999999999E-4</v>
      </c>
      <c r="C20" s="1">
        <v>17</v>
      </c>
      <c r="D20" s="92">
        <v>1.5899999999999999E-4</v>
      </c>
      <c r="E20" s="1"/>
      <c r="F20" s="1">
        <f t="shared" si="0"/>
        <v>2.3099999999999998E-4</v>
      </c>
      <c r="G20" s="1">
        <f t="shared" si="1"/>
        <v>4.4423076923076917E-6</v>
      </c>
    </row>
    <row r="21" spans="1:7" x14ac:dyDescent="0.35">
      <c r="A21" s="1">
        <v>18</v>
      </c>
      <c r="B21" s="92">
        <v>3.8699999999999997E-4</v>
      </c>
      <c r="C21" s="1">
        <v>18</v>
      </c>
      <c r="D21" s="92">
        <v>2.1100000000000001E-4</v>
      </c>
      <c r="E21" s="1"/>
      <c r="F21" s="1">
        <f t="shared" si="0"/>
        <v>2.99E-4</v>
      </c>
      <c r="G21" s="1">
        <f t="shared" si="1"/>
        <v>5.75E-6</v>
      </c>
    </row>
    <row r="22" spans="1:7" x14ac:dyDescent="0.35">
      <c r="A22" s="1">
        <v>19</v>
      </c>
      <c r="B22" s="92">
        <v>4.15E-4</v>
      </c>
      <c r="C22" s="1">
        <v>19</v>
      </c>
      <c r="D22" s="92">
        <v>1.94E-4</v>
      </c>
      <c r="E22" s="1"/>
      <c r="F22" s="1">
        <f t="shared" si="0"/>
        <v>3.0449999999999997E-4</v>
      </c>
      <c r="G22" s="1">
        <f t="shared" si="1"/>
        <v>5.8557692307692299E-6</v>
      </c>
    </row>
    <row r="23" spans="1:7" x14ac:dyDescent="0.35">
      <c r="A23" s="1">
        <v>20</v>
      </c>
      <c r="B23" s="92">
        <v>5.0299999999999997E-4</v>
      </c>
      <c r="C23" s="1">
        <v>20</v>
      </c>
      <c r="D23" s="92">
        <v>1.7899999999999999E-4</v>
      </c>
      <c r="E23" s="1"/>
      <c r="F23" s="1">
        <f t="shared" si="0"/>
        <v>3.4099999999999999E-4</v>
      </c>
      <c r="G23" s="1">
        <f t="shared" si="1"/>
        <v>6.5576923076923072E-6</v>
      </c>
    </row>
    <row r="24" spans="1:7" x14ac:dyDescent="0.35">
      <c r="A24" s="1">
        <v>21</v>
      </c>
      <c r="B24" s="92">
        <v>4.9799999999999996E-4</v>
      </c>
      <c r="C24" s="1">
        <v>21</v>
      </c>
      <c r="D24" s="92">
        <v>2.0100000000000001E-4</v>
      </c>
      <c r="F24" s="1">
        <f t="shared" si="0"/>
        <v>3.4949999999999998E-4</v>
      </c>
      <c r="G24" s="1">
        <f t="shared" si="1"/>
        <v>6.7211538461538455E-6</v>
      </c>
    </row>
    <row r="25" spans="1:7" x14ac:dyDescent="0.35">
      <c r="A25" s="1">
        <v>22</v>
      </c>
      <c r="B25" s="92">
        <v>4.7899999999999999E-4</v>
      </c>
      <c r="C25" s="1">
        <v>22</v>
      </c>
      <c r="D25" s="92">
        <v>2.1499999999999999E-4</v>
      </c>
      <c r="F25" s="1">
        <f t="shared" si="0"/>
        <v>3.4699999999999998E-4</v>
      </c>
      <c r="G25" s="1">
        <f t="shared" si="1"/>
        <v>6.6730769230769224E-6</v>
      </c>
    </row>
    <row r="26" spans="1:7" x14ac:dyDescent="0.35">
      <c r="A26" s="1">
        <v>23</v>
      </c>
      <c r="B26" s="92">
        <v>4.6999999999999999E-4</v>
      </c>
      <c r="C26" s="1">
        <v>23</v>
      </c>
      <c r="D26" s="92">
        <v>2.0000000000000001E-4</v>
      </c>
      <c r="F26" s="1">
        <f t="shared" si="0"/>
        <v>3.3500000000000001E-4</v>
      </c>
      <c r="G26" s="1">
        <f t="shared" si="1"/>
        <v>6.4423076923076929E-6</v>
      </c>
    </row>
    <row r="27" spans="1:7" x14ac:dyDescent="0.35">
      <c r="A27" s="1">
        <v>24</v>
      </c>
      <c r="B27" s="92">
        <v>5.13E-4</v>
      </c>
      <c r="C27" s="1">
        <v>24</v>
      </c>
      <c r="D27" s="92">
        <v>2.1800000000000001E-4</v>
      </c>
      <c r="F27" s="1">
        <f t="shared" si="0"/>
        <v>3.6549999999999999E-4</v>
      </c>
      <c r="G27" s="1">
        <f t="shared" si="1"/>
        <v>7.0288461538461541E-6</v>
      </c>
    </row>
    <row r="28" spans="1:7" x14ac:dyDescent="0.35">
      <c r="A28" s="1">
        <v>25</v>
      </c>
      <c r="B28" s="92">
        <v>5.3799999999999996E-4</v>
      </c>
      <c r="C28" s="1">
        <v>25</v>
      </c>
      <c r="D28" s="92">
        <v>2.4399999999999999E-4</v>
      </c>
      <c r="F28" s="1">
        <f t="shared" si="0"/>
        <v>3.9099999999999996E-4</v>
      </c>
      <c r="G28" s="1">
        <f t="shared" si="1"/>
        <v>7.5192307692307683E-6</v>
      </c>
    </row>
    <row r="29" spans="1:7" x14ac:dyDescent="0.35">
      <c r="A29" s="1">
        <v>26</v>
      </c>
      <c r="B29" s="92">
        <v>5.4299999999999997E-4</v>
      </c>
      <c r="C29" s="1">
        <v>26</v>
      </c>
      <c r="D29" s="92">
        <v>2.5900000000000001E-4</v>
      </c>
      <c r="F29" s="1">
        <f t="shared" si="0"/>
        <v>4.0099999999999999E-4</v>
      </c>
      <c r="G29" s="1">
        <f t="shared" si="1"/>
        <v>7.7115384615384608E-6</v>
      </c>
    </row>
    <row r="30" spans="1:7" x14ac:dyDescent="0.35">
      <c r="A30" s="1">
        <v>27</v>
      </c>
      <c r="B30" s="92">
        <v>5.7399999999999997E-4</v>
      </c>
      <c r="C30" s="1">
        <v>27</v>
      </c>
      <c r="D30" s="92">
        <v>2.7E-4</v>
      </c>
      <c r="F30" s="1">
        <f t="shared" si="0"/>
        <v>4.2199999999999996E-4</v>
      </c>
      <c r="G30" s="1">
        <f t="shared" si="1"/>
        <v>8.1153846153846148E-6</v>
      </c>
    </row>
    <row r="31" spans="1:7" x14ac:dyDescent="0.35">
      <c r="A31" s="1">
        <v>28</v>
      </c>
      <c r="B31" s="92">
        <v>6.29E-4</v>
      </c>
      <c r="C31" s="1">
        <v>28</v>
      </c>
      <c r="D31" s="92">
        <v>3.0400000000000002E-4</v>
      </c>
      <c r="F31" s="1">
        <f t="shared" si="0"/>
        <v>4.6650000000000001E-4</v>
      </c>
      <c r="G31" s="1">
        <f t="shared" si="1"/>
        <v>8.9711538461538469E-6</v>
      </c>
    </row>
    <row r="32" spans="1:7" x14ac:dyDescent="0.35">
      <c r="A32" s="1">
        <v>29</v>
      </c>
      <c r="B32" s="92">
        <v>6.6399999999999999E-4</v>
      </c>
      <c r="C32" s="1">
        <v>29</v>
      </c>
      <c r="D32" s="92">
        <v>3.0200000000000002E-4</v>
      </c>
      <c r="F32" s="1">
        <f t="shared" si="0"/>
        <v>4.8300000000000003E-4</v>
      </c>
      <c r="G32" s="1">
        <f t="shared" si="1"/>
        <v>9.2884615384615391E-6</v>
      </c>
    </row>
    <row r="33" spans="1:7" x14ac:dyDescent="0.35">
      <c r="A33" s="1">
        <v>30</v>
      </c>
      <c r="B33" s="92">
        <v>7.1100000000000004E-4</v>
      </c>
      <c r="C33" s="1">
        <v>30</v>
      </c>
      <c r="D33" s="92">
        <v>3.5799999999999997E-4</v>
      </c>
      <c r="F33" s="1">
        <f t="shared" si="0"/>
        <v>5.3450000000000004E-4</v>
      </c>
      <c r="G33" s="1">
        <f t="shared" si="1"/>
        <v>1.0278846153846155E-5</v>
      </c>
    </row>
    <row r="34" spans="1:7" x14ac:dyDescent="0.35">
      <c r="A34" s="1">
        <v>31</v>
      </c>
      <c r="B34" s="92">
        <v>7.7200000000000001E-4</v>
      </c>
      <c r="C34" s="1">
        <v>31</v>
      </c>
      <c r="D34" s="92">
        <v>3.6900000000000002E-4</v>
      </c>
      <c r="F34" s="1">
        <f t="shared" si="0"/>
        <v>5.7050000000000004E-4</v>
      </c>
      <c r="G34" s="1">
        <f t="shared" si="1"/>
        <v>1.0971153846153846E-5</v>
      </c>
    </row>
    <row r="35" spans="1:7" x14ac:dyDescent="0.35">
      <c r="A35" s="1">
        <v>32</v>
      </c>
      <c r="B35" s="92">
        <v>7.5600000000000005E-4</v>
      </c>
      <c r="C35" s="1">
        <v>32</v>
      </c>
      <c r="D35" s="92">
        <v>4.3600000000000003E-4</v>
      </c>
      <c r="F35" s="1">
        <f t="shared" si="0"/>
        <v>5.9600000000000007E-4</v>
      </c>
      <c r="G35" s="1">
        <f t="shared" si="1"/>
        <v>1.1461538461538462E-5</v>
      </c>
    </row>
    <row r="36" spans="1:7" x14ac:dyDescent="0.35">
      <c r="A36" s="1">
        <v>33</v>
      </c>
      <c r="B36" s="92">
        <v>8.61E-4</v>
      </c>
      <c r="C36" s="1">
        <v>33</v>
      </c>
      <c r="D36" s="92">
        <v>4.5100000000000001E-4</v>
      </c>
      <c r="F36" s="1">
        <f t="shared" si="0"/>
        <v>6.5600000000000001E-4</v>
      </c>
      <c r="G36" s="1">
        <f t="shared" si="1"/>
        <v>1.2615384615384616E-5</v>
      </c>
    </row>
    <row r="37" spans="1:7" x14ac:dyDescent="0.35">
      <c r="A37" s="1">
        <v>34</v>
      </c>
      <c r="B37" s="92">
        <v>8.9300000000000002E-4</v>
      </c>
      <c r="C37" s="1">
        <v>34</v>
      </c>
      <c r="D37" s="92">
        <v>5.2499999999999997E-4</v>
      </c>
      <c r="F37" s="1">
        <f t="shared" si="0"/>
        <v>7.0899999999999999E-4</v>
      </c>
      <c r="G37" s="1">
        <f t="shared" si="1"/>
        <v>1.3634615384615385E-5</v>
      </c>
    </row>
    <row r="38" spans="1:7" x14ac:dyDescent="0.35">
      <c r="A38" s="1">
        <v>35</v>
      </c>
      <c r="B38" s="92">
        <v>9.68E-4</v>
      </c>
      <c r="C38" s="1">
        <v>35</v>
      </c>
      <c r="D38" s="92">
        <v>5.5400000000000002E-4</v>
      </c>
      <c r="F38" s="1">
        <f t="shared" si="0"/>
        <v>7.6099999999999996E-4</v>
      </c>
      <c r="G38" s="1">
        <f t="shared" si="1"/>
        <v>1.4634615384615384E-5</v>
      </c>
    </row>
    <row r="39" spans="1:7" x14ac:dyDescent="0.35">
      <c r="A39" s="1">
        <v>36</v>
      </c>
      <c r="B39" s="92">
        <v>1.0510000000000001E-3</v>
      </c>
      <c r="C39" s="1">
        <v>36</v>
      </c>
      <c r="D39" s="92">
        <v>5.8299999999999997E-4</v>
      </c>
      <c r="F39" s="1">
        <f t="shared" si="0"/>
        <v>8.1700000000000002E-4</v>
      </c>
      <c r="G39" s="1">
        <f t="shared" si="1"/>
        <v>1.5711538461538462E-5</v>
      </c>
    </row>
    <row r="40" spans="1:7" x14ac:dyDescent="0.35">
      <c r="A40" s="1">
        <v>37</v>
      </c>
      <c r="B40" s="92">
        <v>1.212E-3</v>
      </c>
      <c r="C40" s="1">
        <v>37</v>
      </c>
      <c r="D40" s="92">
        <v>7.4600000000000003E-4</v>
      </c>
      <c r="F40" s="1">
        <f t="shared" si="0"/>
        <v>9.7900000000000005E-4</v>
      </c>
      <c r="G40" s="1">
        <f t="shared" si="1"/>
        <v>1.8826923076923077E-5</v>
      </c>
    </row>
    <row r="41" spans="1:7" x14ac:dyDescent="0.35">
      <c r="A41" s="1">
        <v>38</v>
      </c>
      <c r="B41" s="92">
        <v>1.1789999999999999E-3</v>
      </c>
      <c r="C41" s="1">
        <v>38</v>
      </c>
      <c r="D41" s="92">
        <v>7.0299999999999996E-4</v>
      </c>
      <c r="F41" s="1">
        <f t="shared" si="0"/>
        <v>9.41E-4</v>
      </c>
      <c r="G41" s="1">
        <f t="shared" si="1"/>
        <v>1.8096153846153845E-5</v>
      </c>
    </row>
    <row r="42" spans="1:7" x14ac:dyDescent="0.35">
      <c r="A42" s="1">
        <v>39</v>
      </c>
      <c r="B42" s="92">
        <v>1.291E-3</v>
      </c>
      <c r="C42" s="1">
        <v>39</v>
      </c>
      <c r="D42" s="92">
        <v>7.7099999999999998E-4</v>
      </c>
      <c r="F42" s="1">
        <f t="shared" si="0"/>
        <v>1.031E-3</v>
      </c>
      <c r="G42" s="1">
        <f t="shared" si="1"/>
        <v>1.9826923076923078E-5</v>
      </c>
    </row>
    <row r="43" spans="1:7" x14ac:dyDescent="0.35">
      <c r="A43" s="1">
        <v>40</v>
      </c>
      <c r="B43" s="92">
        <v>1.431E-3</v>
      </c>
      <c r="C43" s="1">
        <v>40</v>
      </c>
      <c r="D43" s="92">
        <v>8.2899999999999998E-4</v>
      </c>
      <c r="F43" s="1">
        <f t="shared" si="0"/>
        <v>1.1299999999999999E-3</v>
      </c>
      <c r="G43" s="1">
        <f t="shared" si="1"/>
        <v>2.1730769230769228E-5</v>
      </c>
    </row>
    <row r="44" spans="1:7" x14ac:dyDescent="0.35">
      <c r="A44" s="1">
        <v>41</v>
      </c>
      <c r="B44" s="92">
        <v>1.5349999999999999E-3</v>
      </c>
      <c r="C44" s="1">
        <v>41</v>
      </c>
      <c r="D44" s="92">
        <v>9.1600000000000004E-4</v>
      </c>
      <c r="F44" s="1">
        <f t="shared" si="0"/>
        <v>1.2255E-3</v>
      </c>
      <c r="G44" s="1">
        <f t="shared" si="1"/>
        <v>2.3567307692307692E-5</v>
      </c>
    </row>
    <row r="45" spans="1:7" x14ac:dyDescent="0.35">
      <c r="A45" s="1">
        <v>42</v>
      </c>
      <c r="B45" s="92">
        <v>1.678E-3</v>
      </c>
      <c r="C45" s="1">
        <v>42</v>
      </c>
      <c r="D45" s="92">
        <v>1.0280000000000001E-3</v>
      </c>
      <c r="F45" s="1">
        <f t="shared" si="0"/>
        <v>1.353E-3</v>
      </c>
      <c r="G45" s="1">
        <f t="shared" si="1"/>
        <v>2.6019230769230771E-5</v>
      </c>
    </row>
    <row r="46" spans="1:7" x14ac:dyDescent="0.35">
      <c r="A46" s="1">
        <v>43</v>
      </c>
      <c r="B46" s="92">
        <v>1.853E-3</v>
      </c>
      <c r="C46" s="1">
        <v>43</v>
      </c>
      <c r="D46" s="92">
        <v>1.098E-3</v>
      </c>
      <c r="F46" s="1">
        <f t="shared" si="0"/>
        <v>1.4755E-3</v>
      </c>
      <c r="G46" s="1">
        <f t="shared" si="1"/>
        <v>2.8375000000000002E-5</v>
      </c>
    </row>
    <row r="47" spans="1:7" x14ac:dyDescent="0.35">
      <c r="A47" s="1">
        <v>44</v>
      </c>
      <c r="B47" s="92">
        <v>1.9620000000000002E-3</v>
      </c>
      <c r="C47" s="1">
        <v>44</v>
      </c>
      <c r="D47" s="92">
        <v>1.261E-3</v>
      </c>
      <c r="F47" s="1">
        <f t="shared" si="0"/>
        <v>1.6115000000000001E-3</v>
      </c>
      <c r="G47" s="1">
        <f t="shared" si="1"/>
        <v>3.0990384615384619E-5</v>
      </c>
    </row>
    <row r="48" spans="1:7" x14ac:dyDescent="0.35">
      <c r="A48" s="1">
        <v>45</v>
      </c>
      <c r="B48" s="92">
        <v>2.2260000000000001E-3</v>
      </c>
      <c r="C48" s="1">
        <v>45</v>
      </c>
      <c r="D48" s="92">
        <v>1.361E-3</v>
      </c>
      <c r="F48" s="1">
        <f t="shared" si="0"/>
        <v>1.7935E-3</v>
      </c>
      <c r="G48" s="1">
        <f t="shared" si="1"/>
        <v>3.4490384615384616E-5</v>
      </c>
    </row>
    <row r="49" spans="1:7" x14ac:dyDescent="0.35">
      <c r="A49" s="1">
        <v>46</v>
      </c>
      <c r="B49" s="92">
        <v>2.3059999999999999E-3</v>
      </c>
      <c r="C49" s="1">
        <v>46</v>
      </c>
      <c r="D49" s="92">
        <v>1.495E-3</v>
      </c>
      <c r="F49" s="1">
        <f t="shared" si="0"/>
        <v>1.9004999999999998E-3</v>
      </c>
      <c r="G49" s="1">
        <f t="shared" si="1"/>
        <v>3.654807692307692E-5</v>
      </c>
    </row>
    <row r="50" spans="1:7" x14ac:dyDescent="0.35">
      <c r="A50" s="1">
        <v>47</v>
      </c>
      <c r="B50" s="92">
        <v>2.5730000000000002E-3</v>
      </c>
      <c r="C50" s="1">
        <v>47</v>
      </c>
      <c r="D50" s="92">
        <v>1.6199999999999999E-3</v>
      </c>
      <c r="F50" s="1">
        <f t="shared" si="0"/>
        <v>2.0965000000000003E-3</v>
      </c>
      <c r="G50" s="1">
        <f t="shared" si="1"/>
        <v>4.0317307692307695E-5</v>
      </c>
    </row>
    <row r="51" spans="1:7" x14ac:dyDescent="0.35">
      <c r="A51" s="1">
        <v>48</v>
      </c>
      <c r="B51" s="92">
        <v>2.7190000000000001E-3</v>
      </c>
      <c r="C51" s="1">
        <v>48</v>
      </c>
      <c r="D51" s="92">
        <v>1.7719999999999999E-3</v>
      </c>
      <c r="F51" s="1">
        <f t="shared" si="0"/>
        <v>2.2455000000000001E-3</v>
      </c>
      <c r="G51" s="1">
        <f t="shared" si="1"/>
        <v>4.3182692307692308E-5</v>
      </c>
    </row>
    <row r="52" spans="1:7" x14ac:dyDescent="0.35">
      <c r="A52" s="1">
        <v>49</v>
      </c>
      <c r="B52" s="92">
        <v>3.0469999999999998E-3</v>
      </c>
      <c r="C52" s="1">
        <v>49</v>
      </c>
      <c r="D52" s="92">
        <v>1.8990000000000001E-3</v>
      </c>
      <c r="F52" s="1">
        <f t="shared" si="0"/>
        <v>2.4729999999999999E-3</v>
      </c>
      <c r="G52" s="1">
        <f t="shared" si="1"/>
        <v>4.7557692307692306E-5</v>
      </c>
    </row>
    <row r="53" spans="1:7" x14ac:dyDescent="0.35">
      <c r="A53" s="1">
        <v>50</v>
      </c>
      <c r="B53" s="92">
        <v>3.2390000000000001E-3</v>
      </c>
      <c r="C53" s="1">
        <v>50</v>
      </c>
      <c r="D53" s="92">
        <v>2.091E-3</v>
      </c>
      <c r="F53" s="1">
        <f t="shared" si="0"/>
        <v>2.6649999999999998E-3</v>
      </c>
      <c r="G53" s="1">
        <f t="shared" si="1"/>
        <v>5.1249999999999999E-5</v>
      </c>
    </row>
    <row r="54" spans="1:7" x14ac:dyDescent="0.35">
      <c r="A54" s="1">
        <v>51</v>
      </c>
      <c r="B54" s="92">
        <v>3.496E-3</v>
      </c>
      <c r="C54" s="1">
        <v>51</v>
      </c>
      <c r="D54" s="92">
        <v>2.2769999999999999E-3</v>
      </c>
      <c r="F54" s="1">
        <f t="shared" si="0"/>
        <v>2.8865000000000002E-3</v>
      </c>
      <c r="G54" s="1">
        <f t="shared" si="1"/>
        <v>5.550961538461539E-5</v>
      </c>
    </row>
    <row r="55" spans="1:7" x14ac:dyDescent="0.35">
      <c r="A55" s="1">
        <v>52</v>
      </c>
      <c r="B55" s="92">
        <v>3.7550000000000001E-3</v>
      </c>
      <c r="C55" s="1">
        <v>52</v>
      </c>
      <c r="D55" s="92">
        <v>2.4780000000000002E-3</v>
      </c>
      <c r="F55" s="1">
        <f t="shared" si="0"/>
        <v>3.1165000000000003E-3</v>
      </c>
      <c r="G55" s="1">
        <f t="shared" si="1"/>
        <v>5.9932692307692315E-5</v>
      </c>
    </row>
    <row r="56" spans="1:7" x14ac:dyDescent="0.35">
      <c r="A56" s="1">
        <v>53</v>
      </c>
      <c r="B56" s="92">
        <v>4.0210000000000003E-3</v>
      </c>
      <c r="C56" s="1">
        <v>53</v>
      </c>
      <c r="D56" s="92">
        <v>2.591E-3</v>
      </c>
      <c r="F56" s="1">
        <f t="shared" si="0"/>
        <v>3.3059999999999999E-3</v>
      </c>
      <c r="G56" s="1">
        <f t="shared" si="1"/>
        <v>6.3576923076923074E-5</v>
      </c>
    </row>
    <row r="57" spans="1:7" x14ac:dyDescent="0.35">
      <c r="A57" s="1">
        <v>54</v>
      </c>
      <c r="B57" s="92">
        <v>4.3179999999999998E-3</v>
      </c>
      <c r="C57" s="1">
        <v>54</v>
      </c>
      <c r="D57" s="92">
        <v>2.7729999999999999E-3</v>
      </c>
      <c r="F57" s="1">
        <f t="shared" si="0"/>
        <v>3.5455E-3</v>
      </c>
      <c r="G57" s="1">
        <f t="shared" si="1"/>
        <v>6.8182692307692313E-5</v>
      </c>
    </row>
    <row r="58" spans="1:7" x14ac:dyDescent="0.35">
      <c r="A58" s="1">
        <v>55</v>
      </c>
      <c r="B58" s="92">
        <v>4.653E-3</v>
      </c>
      <c r="C58" s="1">
        <v>55</v>
      </c>
      <c r="D58" s="92">
        <v>3.0890000000000002E-3</v>
      </c>
      <c r="F58" s="1">
        <f t="shared" si="0"/>
        <v>3.8710000000000003E-3</v>
      </c>
      <c r="G58" s="1">
        <f t="shared" si="1"/>
        <v>7.4442307692307698E-5</v>
      </c>
    </row>
    <row r="59" spans="1:7" x14ac:dyDescent="0.35">
      <c r="A59" s="1">
        <v>56</v>
      </c>
      <c r="B59" s="92">
        <v>5.1919999999999996E-3</v>
      </c>
      <c r="C59" s="1">
        <v>56</v>
      </c>
      <c r="D59" s="92">
        <v>3.3999999999999998E-3</v>
      </c>
      <c r="F59" s="1">
        <f t="shared" si="0"/>
        <v>4.2959999999999995E-3</v>
      </c>
      <c r="G59" s="1">
        <f t="shared" si="1"/>
        <v>8.2615384615384606E-5</v>
      </c>
    </row>
    <row r="60" spans="1:7" x14ac:dyDescent="0.35">
      <c r="A60" s="1">
        <v>57</v>
      </c>
      <c r="B60" s="92">
        <v>5.6950000000000004E-3</v>
      </c>
      <c r="C60" s="1">
        <v>57</v>
      </c>
      <c r="D60" s="92">
        <v>3.689E-3</v>
      </c>
      <c r="F60" s="1">
        <f t="shared" si="0"/>
        <v>4.692E-3</v>
      </c>
      <c r="G60" s="1">
        <f t="shared" si="1"/>
        <v>9.0230769230769233E-5</v>
      </c>
    </row>
    <row r="61" spans="1:7" x14ac:dyDescent="0.35">
      <c r="A61" s="1">
        <v>58</v>
      </c>
      <c r="B61" s="92">
        <v>6.208E-3</v>
      </c>
      <c r="C61" s="1">
        <v>58</v>
      </c>
      <c r="D61" s="92">
        <v>4.0819999999999997E-3</v>
      </c>
      <c r="F61" s="1">
        <f t="shared" si="0"/>
        <v>5.1450000000000003E-3</v>
      </c>
      <c r="G61" s="1">
        <f t="shared" si="1"/>
        <v>9.8942307692307697E-5</v>
      </c>
    </row>
    <row r="62" spans="1:7" x14ac:dyDescent="0.35">
      <c r="A62" s="1">
        <v>59</v>
      </c>
      <c r="B62" s="92">
        <v>6.7279999999999996E-3</v>
      </c>
      <c r="C62" s="1">
        <v>59</v>
      </c>
      <c r="D62" s="92">
        <v>4.4029999999999998E-3</v>
      </c>
      <c r="F62" s="1">
        <f t="shared" si="0"/>
        <v>5.5654999999999993E-3</v>
      </c>
      <c r="G62" s="1">
        <f t="shared" si="1"/>
        <v>1.0702884615384613E-4</v>
      </c>
    </row>
    <row r="63" spans="1:7" x14ac:dyDescent="0.35">
      <c r="A63" s="1">
        <v>60</v>
      </c>
      <c r="B63" s="92">
        <v>7.4139999999999996E-3</v>
      </c>
      <c r="C63" s="1">
        <v>60</v>
      </c>
      <c r="D63" s="92">
        <v>4.8520000000000004E-3</v>
      </c>
      <c r="F63" s="1">
        <f t="shared" si="0"/>
        <v>6.1329999999999996E-3</v>
      </c>
      <c r="G63" s="1">
        <f t="shared" si="1"/>
        <v>1.1794230769230768E-4</v>
      </c>
    </row>
    <row r="64" spans="1:7" x14ac:dyDescent="0.35">
      <c r="A64" s="1">
        <v>61</v>
      </c>
      <c r="B64" s="92">
        <v>8.0490000000000006E-3</v>
      </c>
      <c r="C64" s="1">
        <v>61</v>
      </c>
      <c r="D64" s="92">
        <v>5.2989999999999999E-3</v>
      </c>
      <c r="F64" s="1">
        <f t="shared" si="0"/>
        <v>6.6740000000000002E-3</v>
      </c>
      <c r="G64" s="1">
        <f t="shared" si="1"/>
        <v>1.2834615384615386E-4</v>
      </c>
    </row>
    <row r="65" spans="1:7" x14ac:dyDescent="0.35">
      <c r="A65" s="1">
        <v>62</v>
      </c>
      <c r="B65" s="92">
        <v>8.9980000000000008E-3</v>
      </c>
      <c r="C65" s="1">
        <v>62</v>
      </c>
      <c r="D65" s="92">
        <v>6.0980000000000001E-3</v>
      </c>
      <c r="F65" s="1">
        <f t="shared" si="0"/>
        <v>7.5480000000000009E-3</v>
      </c>
      <c r="G65" s="1">
        <f t="shared" si="1"/>
        <v>1.4515384615384618E-4</v>
      </c>
    </row>
    <row r="66" spans="1:7" x14ac:dyDescent="0.35">
      <c r="A66" s="1">
        <v>63</v>
      </c>
      <c r="B66" s="92">
        <v>9.9290000000000003E-3</v>
      </c>
      <c r="C66" s="1">
        <v>63</v>
      </c>
      <c r="D66" s="92">
        <v>6.4780000000000003E-3</v>
      </c>
      <c r="F66" s="1">
        <f t="shared" si="0"/>
        <v>8.2035000000000007E-3</v>
      </c>
      <c r="G66" s="1">
        <f t="shared" si="1"/>
        <v>1.5775961538461541E-4</v>
      </c>
    </row>
    <row r="67" spans="1:7" x14ac:dyDescent="0.35">
      <c r="A67" s="1">
        <v>64</v>
      </c>
      <c r="B67" s="92">
        <v>1.0735E-2</v>
      </c>
      <c r="C67" s="1">
        <v>64</v>
      </c>
      <c r="D67" s="92">
        <v>7.0060000000000001E-3</v>
      </c>
      <c r="F67" s="1">
        <f t="shared" si="0"/>
        <v>8.8704999999999999E-3</v>
      </c>
      <c r="G67" s="1">
        <f t="shared" si="1"/>
        <v>1.7058653846153846E-4</v>
      </c>
    </row>
    <row r="68" spans="1:7" x14ac:dyDescent="0.35">
      <c r="A68" s="1">
        <v>65</v>
      </c>
      <c r="B68" s="92">
        <v>1.1872000000000001E-2</v>
      </c>
      <c r="C68" s="1">
        <v>65</v>
      </c>
      <c r="D68" s="92">
        <v>7.698E-3</v>
      </c>
      <c r="F68" s="1">
        <f t="shared" ref="F68:F103" si="2">(B68+D68)/2</f>
        <v>9.7850000000000003E-3</v>
      </c>
      <c r="G68" s="1">
        <f t="shared" ref="G68:G103" si="3">F68/52</f>
        <v>1.8817307692307693E-4</v>
      </c>
    </row>
    <row r="69" spans="1:7" x14ac:dyDescent="0.35">
      <c r="A69" s="1">
        <v>66</v>
      </c>
      <c r="B69" s="92">
        <v>1.2985E-2</v>
      </c>
      <c r="C69" s="1">
        <v>66</v>
      </c>
      <c r="D69" s="92">
        <v>8.2780000000000006E-3</v>
      </c>
      <c r="F69" s="1">
        <f t="shared" si="2"/>
        <v>1.06315E-2</v>
      </c>
      <c r="G69" s="1">
        <f t="shared" si="3"/>
        <v>2.0445192307692308E-4</v>
      </c>
    </row>
    <row r="70" spans="1:7" x14ac:dyDescent="0.35">
      <c r="A70" s="1">
        <v>67</v>
      </c>
      <c r="B70" s="92">
        <v>1.4160000000000001E-2</v>
      </c>
      <c r="C70" s="1">
        <v>67</v>
      </c>
      <c r="D70" s="92">
        <v>9.0530000000000003E-3</v>
      </c>
      <c r="F70" s="1">
        <f t="shared" si="2"/>
        <v>1.16065E-2</v>
      </c>
      <c r="G70" s="1">
        <f t="shared" si="3"/>
        <v>2.2320192307692308E-4</v>
      </c>
    </row>
    <row r="71" spans="1:7" x14ac:dyDescent="0.35">
      <c r="A71" s="1">
        <v>68</v>
      </c>
      <c r="B71" s="92">
        <v>1.549E-2</v>
      </c>
      <c r="C71" s="1">
        <v>68</v>
      </c>
      <c r="D71" s="92">
        <v>1.0082000000000001E-2</v>
      </c>
      <c r="F71" s="1">
        <f t="shared" si="2"/>
        <v>1.2786E-2</v>
      </c>
      <c r="G71" s="1">
        <f t="shared" si="3"/>
        <v>2.4588461538461537E-4</v>
      </c>
    </row>
    <row r="72" spans="1:7" x14ac:dyDescent="0.35">
      <c r="A72" s="1">
        <v>69</v>
      </c>
      <c r="B72" s="92">
        <v>1.6986999999999999E-2</v>
      </c>
      <c r="C72" s="1">
        <v>69</v>
      </c>
      <c r="D72" s="92">
        <v>1.0880000000000001E-2</v>
      </c>
      <c r="F72" s="1">
        <f t="shared" si="2"/>
        <v>1.39335E-2</v>
      </c>
      <c r="G72" s="1">
        <f t="shared" si="3"/>
        <v>2.6795192307692305E-4</v>
      </c>
    </row>
    <row r="73" spans="1:7" x14ac:dyDescent="0.35">
      <c r="A73" s="1">
        <v>70</v>
      </c>
      <c r="B73" s="92">
        <v>1.7956E-2</v>
      </c>
      <c r="C73" s="1">
        <v>70</v>
      </c>
      <c r="D73" s="92">
        <v>1.2030000000000001E-2</v>
      </c>
      <c r="F73" s="1">
        <f t="shared" si="2"/>
        <v>1.4992999999999999E-2</v>
      </c>
      <c r="G73" s="1">
        <f t="shared" si="3"/>
        <v>2.8832692307692305E-4</v>
      </c>
    </row>
    <row r="74" spans="1:7" x14ac:dyDescent="0.35">
      <c r="A74" s="1">
        <v>71</v>
      </c>
      <c r="B74" s="92">
        <v>2.001E-2</v>
      </c>
      <c r="C74" s="1">
        <v>71</v>
      </c>
      <c r="D74" s="92">
        <v>1.2970000000000001E-2</v>
      </c>
      <c r="F74" s="1">
        <f t="shared" si="2"/>
        <v>1.6490000000000001E-2</v>
      </c>
      <c r="G74" s="1">
        <f t="shared" si="3"/>
        <v>3.1711538461538465E-4</v>
      </c>
    </row>
    <row r="75" spans="1:7" x14ac:dyDescent="0.35">
      <c r="A75" s="1">
        <v>72</v>
      </c>
      <c r="B75" s="92">
        <v>2.1869E-2</v>
      </c>
      <c r="C75" s="1">
        <v>72</v>
      </c>
      <c r="D75" s="92">
        <v>1.4884E-2</v>
      </c>
      <c r="F75" s="1">
        <f t="shared" si="2"/>
        <v>1.83765E-2</v>
      </c>
      <c r="G75" s="1">
        <f t="shared" si="3"/>
        <v>3.533942307692308E-4</v>
      </c>
    </row>
    <row r="76" spans="1:7" x14ac:dyDescent="0.35">
      <c r="A76" s="1">
        <v>73</v>
      </c>
      <c r="B76" s="92">
        <v>2.5311E-2</v>
      </c>
      <c r="C76" s="1">
        <v>73</v>
      </c>
      <c r="D76" s="92">
        <v>1.7035000000000002E-2</v>
      </c>
      <c r="F76" s="1">
        <f t="shared" si="2"/>
        <v>2.1173000000000001E-2</v>
      </c>
      <c r="G76" s="1">
        <f t="shared" si="3"/>
        <v>4.0717307692307694E-4</v>
      </c>
    </row>
    <row r="77" spans="1:7" x14ac:dyDescent="0.35">
      <c r="A77" s="1">
        <v>74</v>
      </c>
      <c r="B77" s="92">
        <v>2.7602000000000002E-2</v>
      </c>
      <c r="C77" s="1">
        <v>74</v>
      </c>
      <c r="D77" s="92">
        <v>1.8668000000000001E-2</v>
      </c>
      <c r="F77" s="1">
        <f t="shared" si="2"/>
        <v>2.3135000000000003E-2</v>
      </c>
      <c r="G77" s="1">
        <f t="shared" si="3"/>
        <v>4.4490384615384623E-4</v>
      </c>
    </row>
    <row r="78" spans="1:7" x14ac:dyDescent="0.35">
      <c r="A78" s="1">
        <v>75</v>
      </c>
      <c r="B78" s="92">
        <v>3.0890999999999998E-2</v>
      </c>
      <c r="C78" s="1">
        <v>75</v>
      </c>
      <c r="D78" s="92">
        <v>2.0912E-2</v>
      </c>
      <c r="F78" s="1">
        <f t="shared" si="2"/>
        <v>2.5901500000000001E-2</v>
      </c>
      <c r="G78" s="1">
        <f t="shared" si="3"/>
        <v>4.9810576923076924E-4</v>
      </c>
    </row>
    <row r="79" spans="1:7" x14ac:dyDescent="0.35">
      <c r="A79" s="1">
        <v>76</v>
      </c>
      <c r="B79" s="92">
        <v>3.4948E-2</v>
      </c>
      <c r="C79" s="1">
        <v>76</v>
      </c>
      <c r="D79" s="92">
        <v>2.3611E-2</v>
      </c>
      <c r="F79" s="1">
        <f t="shared" si="2"/>
        <v>2.92795E-2</v>
      </c>
      <c r="G79" s="1">
        <f t="shared" si="3"/>
        <v>5.6306730769230772E-4</v>
      </c>
    </row>
    <row r="80" spans="1:7" x14ac:dyDescent="0.35">
      <c r="A80" s="1">
        <v>77</v>
      </c>
      <c r="B80" s="92">
        <v>3.8670000000000003E-2</v>
      </c>
      <c r="C80" s="1">
        <v>77</v>
      </c>
      <c r="D80" s="92">
        <v>2.6807000000000001E-2</v>
      </c>
      <c r="F80" s="1">
        <f t="shared" si="2"/>
        <v>3.2738500000000004E-2</v>
      </c>
      <c r="G80" s="1">
        <f t="shared" si="3"/>
        <v>6.295865384615385E-4</v>
      </c>
    </row>
    <row r="81" spans="1:7" x14ac:dyDescent="0.35">
      <c r="A81" s="1">
        <v>78</v>
      </c>
      <c r="B81" s="92">
        <v>4.3513999999999997E-2</v>
      </c>
      <c r="C81" s="1">
        <v>78</v>
      </c>
      <c r="D81" s="92">
        <v>3.0387999999999998E-2</v>
      </c>
      <c r="F81" s="1">
        <f t="shared" si="2"/>
        <v>3.6950999999999998E-2</v>
      </c>
      <c r="G81" s="1">
        <f t="shared" si="3"/>
        <v>7.1059615384615378E-4</v>
      </c>
    </row>
    <row r="82" spans="1:7" x14ac:dyDescent="0.35">
      <c r="A82" s="1">
        <v>79</v>
      </c>
      <c r="B82" s="92">
        <v>4.8056000000000001E-2</v>
      </c>
      <c r="C82" s="1">
        <v>79</v>
      </c>
      <c r="D82" s="92">
        <v>3.4188999999999997E-2</v>
      </c>
      <c r="F82" s="1">
        <f t="shared" si="2"/>
        <v>4.1122499999999999E-2</v>
      </c>
      <c r="G82" s="1">
        <f t="shared" si="3"/>
        <v>7.908173076923077E-4</v>
      </c>
    </row>
    <row r="83" spans="1:7" x14ac:dyDescent="0.35">
      <c r="A83" s="1">
        <v>80</v>
      </c>
      <c r="B83" s="92">
        <v>5.4329000000000002E-2</v>
      </c>
      <c r="C83" s="1">
        <v>80</v>
      </c>
      <c r="D83" s="92">
        <v>3.8372000000000003E-2</v>
      </c>
      <c r="F83" s="1">
        <f t="shared" si="2"/>
        <v>4.6350500000000003E-2</v>
      </c>
      <c r="G83" s="1">
        <f t="shared" si="3"/>
        <v>8.9135576923076928E-4</v>
      </c>
    </row>
    <row r="84" spans="1:7" x14ac:dyDescent="0.35">
      <c r="A84" s="1">
        <v>81</v>
      </c>
      <c r="B84" s="92">
        <v>6.0666999999999999E-2</v>
      </c>
      <c r="C84" s="1">
        <v>81</v>
      </c>
      <c r="D84" s="92">
        <v>4.3276000000000002E-2</v>
      </c>
      <c r="F84" s="1">
        <f t="shared" si="2"/>
        <v>5.1971500000000004E-2</v>
      </c>
      <c r="G84" s="1">
        <f t="shared" si="3"/>
        <v>9.9945192307692322E-4</v>
      </c>
    </row>
    <row r="85" spans="1:7" x14ac:dyDescent="0.35">
      <c r="A85" s="1">
        <v>82</v>
      </c>
      <c r="B85" s="92">
        <v>6.7295999999999995E-2</v>
      </c>
      <c r="C85" s="1">
        <v>82</v>
      </c>
      <c r="D85" s="92">
        <v>4.9058999999999998E-2</v>
      </c>
      <c r="F85" s="1">
        <f t="shared" si="2"/>
        <v>5.8177499999999993E-2</v>
      </c>
      <c r="G85" s="1">
        <f t="shared" si="3"/>
        <v>1.1187980769230767E-3</v>
      </c>
    </row>
    <row r="86" spans="1:7" x14ac:dyDescent="0.35">
      <c r="A86" s="1">
        <v>83</v>
      </c>
      <c r="B86" s="92">
        <v>7.6234999999999997E-2</v>
      </c>
      <c r="C86" s="1">
        <v>83</v>
      </c>
      <c r="D86" s="92">
        <v>5.6819000000000001E-2</v>
      </c>
      <c r="F86" s="1">
        <f t="shared" si="2"/>
        <v>6.6527000000000003E-2</v>
      </c>
      <c r="G86" s="1">
        <f t="shared" si="3"/>
        <v>1.2793653846153847E-3</v>
      </c>
    </row>
    <row r="87" spans="1:7" x14ac:dyDescent="0.35">
      <c r="A87" s="1">
        <v>84</v>
      </c>
      <c r="B87" s="92">
        <v>8.7106000000000003E-2</v>
      </c>
      <c r="C87" s="1">
        <v>84</v>
      </c>
      <c r="D87" s="92">
        <v>6.4520999999999995E-2</v>
      </c>
      <c r="F87" s="1">
        <f t="shared" si="2"/>
        <v>7.5813500000000006E-2</v>
      </c>
      <c r="G87" s="1">
        <f t="shared" si="3"/>
        <v>1.4579519230769231E-3</v>
      </c>
    </row>
    <row r="88" spans="1:7" x14ac:dyDescent="0.35">
      <c r="A88" s="1">
        <v>85</v>
      </c>
      <c r="B88" s="92">
        <v>9.7769999999999996E-2</v>
      </c>
      <c r="C88" s="1">
        <v>85</v>
      </c>
      <c r="D88" s="92">
        <v>7.4049000000000004E-2</v>
      </c>
      <c r="F88" s="1">
        <f t="shared" si="2"/>
        <v>8.59095E-2</v>
      </c>
      <c r="G88" s="1">
        <f t="shared" si="3"/>
        <v>1.6521057692307692E-3</v>
      </c>
    </row>
    <row r="89" spans="1:7" x14ac:dyDescent="0.35">
      <c r="A89" s="1">
        <v>86</v>
      </c>
      <c r="B89" s="92">
        <v>0.111136</v>
      </c>
      <c r="C89" s="1">
        <v>86</v>
      </c>
      <c r="D89" s="92">
        <v>8.5075999999999999E-2</v>
      </c>
      <c r="F89" s="1">
        <f t="shared" si="2"/>
        <v>9.8105999999999999E-2</v>
      </c>
      <c r="G89" s="1">
        <f t="shared" si="3"/>
        <v>1.8866538461538461E-3</v>
      </c>
    </row>
    <row r="90" spans="1:7" x14ac:dyDescent="0.35">
      <c r="A90" s="1">
        <v>87</v>
      </c>
      <c r="B90" s="92">
        <v>0.124636</v>
      </c>
      <c r="C90" s="1">
        <v>87</v>
      </c>
      <c r="D90" s="92">
        <v>9.6452999999999997E-2</v>
      </c>
      <c r="F90" s="1">
        <f t="shared" si="2"/>
        <v>0.11054449999999999</v>
      </c>
      <c r="G90" s="1">
        <f t="shared" si="3"/>
        <v>2.1258557692307692E-3</v>
      </c>
    </row>
    <row r="91" spans="1:7" x14ac:dyDescent="0.35">
      <c r="A91" s="1">
        <v>88</v>
      </c>
      <c r="B91" s="92">
        <v>0.141065</v>
      </c>
      <c r="C91" s="1">
        <v>88</v>
      </c>
      <c r="D91" s="92">
        <v>0.11092299999999999</v>
      </c>
      <c r="F91" s="1">
        <f t="shared" si="2"/>
        <v>0.12599399999999999</v>
      </c>
      <c r="G91" s="1">
        <f t="shared" si="3"/>
        <v>2.4229615384615383E-3</v>
      </c>
    </row>
    <row r="92" spans="1:7" x14ac:dyDescent="0.35">
      <c r="A92" s="1">
        <v>89</v>
      </c>
      <c r="B92" s="92">
        <v>0.160029</v>
      </c>
      <c r="C92" s="1">
        <v>89</v>
      </c>
      <c r="D92" s="92">
        <v>0.124474</v>
      </c>
      <c r="F92" s="1">
        <f t="shared" si="2"/>
        <v>0.1422515</v>
      </c>
      <c r="G92" s="1">
        <f t="shared" si="3"/>
        <v>2.7356057692307693E-3</v>
      </c>
    </row>
    <row r="93" spans="1:7" x14ac:dyDescent="0.35">
      <c r="A93" s="1">
        <v>90</v>
      </c>
      <c r="B93" s="92">
        <v>0.17130300000000001</v>
      </c>
      <c r="C93" s="1">
        <v>90</v>
      </c>
      <c r="D93" s="92">
        <v>0.14089399999999999</v>
      </c>
      <c r="F93" s="1">
        <f t="shared" si="2"/>
        <v>0.1560985</v>
      </c>
      <c r="G93" s="1">
        <f t="shared" si="3"/>
        <v>3.0018942307692307E-3</v>
      </c>
    </row>
    <row r="94" spans="1:7" x14ac:dyDescent="0.35">
      <c r="A94" s="1">
        <v>91</v>
      </c>
      <c r="B94" s="92">
        <v>0.19405700000000001</v>
      </c>
      <c r="C94" s="1">
        <v>91</v>
      </c>
      <c r="D94" s="92">
        <v>0.159746</v>
      </c>
      <c r="F94" s="1">
        <f t="shared" si="2"/>
        <v>0.17690149999999999</v>
      </c>
      <c r="G94" s="1">
        <f t="shared" si="3"/>
        <v>3.4019519230769229E-3</v>
      </c>
    </row>
    <row r="95" spans="1:7" x14ac:dyDescent="0.35">
      <c r="A95" s="1">
        <v>92</v>
      </c>
      <c r="B95" s="92">
        <v>0.21520700000000001</v>
      </c>
      <c r="C95" s="1">
        <v>92</v>
      </c>
      <c r="D95" s="92">
        <v>0.18004999999999999</v>
      </c>
      <c r="F95" s="1">
        <f t="shared" si="2"/>
        <v>0.19762849999999998</v>
      </c>
      <c r="G95" s="1">
        <f t="shared" si="3"/>
        <v>3.8005480769230768E-3</v>
      </c>
    </row>
    <row r="96" spans="1:7" x14ac:dyDescent="0.35">
      <c r="A96" s="1">
        <v>93</v>
      </c>
      <c r="B96" s="92">
        <v>0.23968300000000001</v>
      </c>
      <c r="C96" s="1">
        <v>93</v>
      </c>
      <c r="D96" s="92">
        <v>0.20106599999999999</v>
      </c>
      <c r="F96" s="1">
        <f t="shared" si="2"/>
        <v>0.2203745</v>
      </c>
      <c r="G96" s="1">
        <f t="shared" si="3"/>
        <v>4.2379711538461538E-3</v>
      </c>
    </row>
    <row r="97" spans="1:7" x14ac:dyDescent="0.35">
      <c r="A97" s="1">
        <v>94</v>
      </c>
      <c r="B97" s="92">
        <v>0.26888299999999998</v>
      </c>
      <c r="C97" s="1">
        <v>94</v>
      </c>
      <c r="D97" s="92">
        <v>0.226271</v>
      </c>
      <c r="F97" s="1">
        <f t="shared" si="2"/>
        <v>0.24757699999999999</v>
      </c>
      <c r="G97" s="1">
        <f t="shared" si="3"/>
        <v>4.7610961538461539E-3</v>
      </c>
    </row>
    <row r="98" spans="1:7" x14ac:dyDescent="0.35">
      <c r="A98" s="1">
        <v>95</v>
      </c>
      <c r="B98" s="92">
        <v>0.30115799999999998</v>
      </c>
      <c r="C98" s="1">
        <v>95</v>
      </c>
      <c r="D98" s="92">
        <v>0.25548300000000002</v>
      </c>
      <c r="F98" s="1">
        <f t="shared" si="2"/>
        <v>0.27832049999999997</v>
      </c>
      <c r="G98" s="1">
        <f t="shared" si="3"/>
        <v>5.3523173076923071E-3</v>
      </c>
    </row>
    <row r="99" spans="1:7" x14ac:dyDescent="0.35">
      <c r="A99" s="1">
        <v>96</v>
      </c>
      <c r="B99" s="92">
        <v>0.339814</v>
      </c>
      <c r="C99" s="1">
        <v>96</v>
      </c>
      <c r="D99" s="92">
        <v>0.28626299999999999</v>
      </c>
      <c r="F99" s="1">
        <f t="shared" si="2"/>
        <v>0.3130385</v>
      </c>
      <c r="G99" s="1">
        <f t="shared" si="3"/>
        <v>6.0199711538461535E-3</v>
      </c>
    </row>
    <row r="100" spans="1:7" x14ac:dyDescent="0.35">
      <c r="A100" s="1">
        <v>97</v>
      </c>
      <c r="B100" s="92">
        <v>0.36007400000000001</v>
      </c>
      <c r="C100" s="1">
        <v>97</v>
      </c>
      <c r="D100" s="92">
        <v>0.30832300000000001</v>
      </c>
      <c r="F100" s="1">
        <f t="shared" si="2"/>
        <v>0.33419850000000001</v>
      </c>
      <c r="G100" s="1">
        <f t="shared" si="3"/>
        <v>6.4268942307692308E-3</v>
      </c>
    </row>
    <row r="101" spans="1:7" x14ac:dyDescent="0.35">
      <c r="A101" s="1">
        <v>98</v>
      </c>
      <c r="B101" s="92">
        <v>0.39005899999999999</v>
      </c>
      <c r="C101" s="1">
        <v>98</v>
      </c>
      <c r="D101" s="92">
        <v>0.34382600000000002</v>
      </c>
      <c r="F101" s="1">
        <f t="shared" si="2"/>
        <v>0.3669425</v>
      </c>
      <c r="G101" s="1">
        <f t="shared" si="3"/>
        <v>7.0565865384615385E-3</v>
      </c>
    </row>
    <row r="102" spans="1:7" x14ac:dyDescent="0.35">
      <c r="A102" s="1">
        <v>99</v>
      </c>
      <c r="B102" s="92">
        <v>0.45197999999999999</v>
      </c>
      <c r="C102" s="1">
        <v>99</v>
      </c>
      <c r="D102" s="92">
        <v>0.37343399999999999</v>
      </c>
      <c r="F102" s="1">
        <f t="shared" si="2"/>
        <v>0.41270699999999999</v>
      </c>
      <c r="G102" s="1">
        <f t="shared" si="3"/>
        <v>7.9366730769230773E-3</v>
      </c>
    </row>
    <row r="103" spans="1:7" x14ac:dyDescent="0.35">
      <c r="A103" s="1">
        <v>100</v>
      </c>
      <c r="B103" s="1">
        <v>0.48149799999999998</v>
      </c>
      <c r="C103" s="1">
        <v>100</v>
      </c>
      <c r="D103" s="1">
        <v>0.42469299999999999</v>
      </c>
      <c r="F103" s="1">
        <f t="shared" si="2"/>
        <v>0.45309549999999998</v>
      </c>
      <c r="G103" s="1">
        <f t="shared" si="3"/>
        <v>8.7133749999999989E-3</v>
      </c>
    </row>
  </sheetData>
  <hyperlinks>
    <hyperlink ref="I5" r:id="rId1" xr:uid="{68E5FA18-4C73-4D60-A4C9-D8CEE7356284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9B8D-65E3-4E73-9B92-68E89325E9E7}">
  <dimension ref="A1:J55"/>
  <sheetViews>
    <sheetView workbookViewId="0">
      <selection activeCell="B31" sqref="B31"/>
    </sheetView>
  </sheetViews>
  <sheetFormatPr defaultRowHeight="14.5" x14ac:dyDescent="0.35"/>
  <cols>
    <col min="1" max="1" width="17.1796875" customWidth="1"/>
    <col min="2" max="2" width="16.81640625" customWidth="1"/>
  </cols>
  <sheetData>
    <row r="1" spans="1:5" x14ac:dyDescent="0.35">
      <c r="A1" s="1" t="s">
        <v>107</v>
      </c>
      <c r="B1" s="1"/>
      <c r="C1" s="1"/>
      <c r="D1" s="1"/>
      <c r="E1" s="1"/>
    </row>
    <row r="2" spans="1:5" x14ac:dyDescent="0.35">
      <c r="A2" s="1"/>
      <c r="B2" s="1"/>
      <c r="C2" s="1"/>
      <c r="D2" s="1"/>
      <c r="E2" s="1"/>
    </row>
    <row r="3" spans="1:5" x14ac:dyDescent="0.35">
      <c r="A3" s="82" t="s">
        <v>82</v>
      </c>
      <c r="B3" s="82" t="s">
        <v>102</v>
      </c>
      <c r="C3" s="1"/>
      <c r="D3" s="1"/>
      <c r="E3" s="1"/>
    </row>
    <row r="4" spans="1:5" ht="15.5" x14ac:dyDescent="0.35">
      <c r="A4" s="96" t="s">
        <v>83</v>
      </c>
      <c r="B4" s="97">
        <v>3239447</v>
      </c>
      <c r="C4" s="1"/>
      <c r="D4" s="1"/>
      <c r="E4" s="1"/>
    </row>
    <row r="5" spans="1:5" ht="15.5" x14ac:dyDescent="0.35">
      <c r="A5" s="96" t="s">
        <v>84</v>
      </c>
      <c r="B5" s="97">
        <v>3539458</v>
      </c>
      <c r="C5" s="1"/>
      <c r="D5" s="1"/>
      <c r="E5" s="1"/>
    </row>
    <row r="6" spans="1:5" ht="15.5" x14ac:dyDescent="0.35">
      <c r="A6" s="96" t="s">
        <v>85</v>
      </c>
      <c r="B6" s="97">
        <v>3435579</v>
      </c>
      <c r="C6" s="1"/>
      <c r="D6" s="1"/>
      <c r="E6" s="1"/>
    </row>
    <row r="7" spans="1:5" ht="15.5" x14ac:dyDescent="0.35">
      <c r="A7" s="98" t="s">
        <v>86</v>
      </c>
      <c r="B7" s="99">
        <v>3115871</v>
      </c>
      <c r="C7" s="1"/>
      <c r="D7" s="1"/>
      <c r="E7" s="1"/>
    </row>
    <row r="8" spans="1:5" ht="15.5" x14ac:dyDescent="0.35">
      <c r="A8" s="96" t="s">
        <v>87</v>
      </c>
      <c r="B8" s="97">
        <v>3472522</v>
      </c>
      <c r="C8" s="1"/>
      <c r="D8" s="1"/>
      <c r="E8" s="1"/>
    </row>
    <row r="9" spans="1:5" ht="15.5" x14ac:dyDescent="0.35">
      <c r="A9" s="96" t="s">
        <v>88</v>
      </c>
      <c r="B9" s="97">
        <v>3771493</v>
      </c>
      <c r="C9" s="1"/>
      <c r="D9" s="1"/>
      <c r="E9" s="1"/>
    </row>
    <row r="10" spans="1:5" ht="15.5" x14ac:dyDescent="0.35">
      <c r="A10" s="96" t="s">
        <v>89</v>
      </c>
      <c r="B10" s="97">
        <v>3824652</v>
      </c>
      <c r="C10" s="1"/>
      <c r="D10" s="1"/>
      <c r="E10" s="1"/>
    </row>
    <row r="11" spans="1:5" ht="15.5" x14ac:dyDescent="0.35">
      <c r="A11" s="96" t="s">
        <v>90</v>
      </c>
      <c r="B11" s="97">
        <v>3738209</v>
      </c>
      <c r="C11" s="1"/>
      <c r="D11" s="1"/>
      <c r="E11" s="1"/>
    </row>
    <row r="12" spans="1:5" ht="15.5" x14ac:dyDescent="0.35">
      <c r="A12" s="96" t="s">
        <v>91</v>
      </c>
      <c r="B12" s="97">
        <v>3476303</v>
      </c>
      <c r="C12" s="1"/>
      <c r="D12" s="1"/>
      <c r="E12" s="1"/>
    </row>
    <row r="13" spans="1:5" ht="15.5" x14ac:dyDescent="0.35">
      <c r="A13" s="96" t="s">
        <v>92</v>
      </c>
      <c r="B13" s="97">
        <v>3638639</v>
      </c>
      <c r="C13" s="1"/>
      <c r="D13" s="1"/>
      <c r="E13" s="1"/>
    </row>
    <row r="14" spans="1:5" ht="15.5" x14ac:dyDescent="0.35">
      <c r="A14" s="96" t="s">
        <v>93</v>
      </c>
      <c r="B14" s="97">
        <v>3875351</v>
      </c>
      <c r="C14" s="1"/>
      <c r="D14" s="1"/>
      <c r="E14" s="1"/>
    </row>
    <row r="15" spans="1:5" ht="15.5" x14ac:dyDescent="0.35">
      <c r="A15" s="96" t="s">
        <v>94</v>
      </c>
      <c r="B15" s="97">
        <v>3761782</v>
      </c>
      <c r="C15" s="1"/>
      <c r="D15" s="1"/>
      <c r="E15" s="1"/>
    </row>
    <row r="16" spans="1:5" ht="15.5" x14ac:dyDescent="0.35">
      <c r="A16" s="96" t="s">
        <v>95</v>
      </c>
      <c r="B16" s="97">
        <v>3196813</v>
      </c>
      <c r="C16" s="1"/>
      <c r="D16" s="1"/>
      <c r="E16" s="1"/>
    </row>
    <row r="17" spans="1:5" ht="15.5" x14ac:dyDescent="0.35">
      <c r="A17" s="96" t="s">
        <v>96</v>
      </c>
      <c r="B17" s="97">
        <v>2784300</v>
      </c>
      <c r="C17" s="1"/>
      <c r="D17" s="1"/>
      <c r="E17" s="1"/>
    </row>
    <row r="18" spans="1:5" ht="15.5" x14ac:dyDescent="0.35">
      <c r="A18" s="96" t="s">
        <v>97</v>
      </c>
      <c r="B18" s="97">
        <v>2814128</v>
      </c>
      <c r="C18" s="1"/>
      <c r="D18" s="1"/>
      <c r="E18" s="1"/>
    </row>
    <row r="19" spans="1:5" ht="15.5" x14ac:dyDescent="0.35">
      <c r="A19" s="96" t="s">
        <v>98</v>
      </c>
      <c r="B19" s="97">
        <v>2009992</v>
      </c>
      <c r="C19" s="1"/>
      <c r="D19" s="1"/>
      <c r="E19" s="1"/>
    </row>
    <row r="20" spans="1:5" ht="15.5" x14ac:dyDescent="0.35">
      <c r="A20" s="96" t="s">
        <v>99</v>
      </c>
      <c r="B20" s="97">
        <v>1449189</v>
      </c>
      <c r="C20" s="1"/>
      <c r="D20" s="1"/>
      <c r="E20" s="1"/>
    </row>
    <row r="21" spans="1:5" ht="15.5" x14ac:dyDescent="0.35">
      <c r="A21" s="96" t="s">
        <v>100</v>
      </c>
      <c r="B21" s="97">
        <v>885343</v>
      </c>
      <c r="C21" s="1"/>
      <c r="D21" s="1"/>
      <c r="E21" s="1"/>
    </row>
    <row r="22" spans="1:5" ht="15.5" x14ac:dyDescent="0.35">
      <c r="A22" s="96" t="s">
        <v>101</v>
      </c>
      <c r="B22" s="97">
        <v>521067</v>
      </c>
      <c r="C22" s="1"/>
      <c r="D22" s="1"/>
      <c r="E22" s="1"/>
    </row>
    <row r="23" spans="1:5" x14ac:dyDescent="0.35">
      <c r="A23" s="1"/>
      <c r="B23" s="1"/>
      <c r="C23" s="1"/>
      <c r="D23" s="1"/>
      <c r="E23" s="1"/>
    </row>
    <row r="24" spans="1:5" ht="15.5" x14ac:dyDescent="0.35">
      <c r="A24" s="170" t="s">
        <v>105</v>
      </c>
      <c r="B24" s="170">
        <f>SUM(B4:B22)</f>
        <v>56550138</v>
      </c>
      <c r="C24" s="1"/>
      <c r="D24" s="1"/>
      <c r="E24" s="1"/>
    </row>
    <row r="25" spans="1:5" x14ac:dyDescent="0.35">
      <c r="A25" s="1"/>
      <c r="B25" s="1"/>
      <c r="C25" s="1"/>
      <c r="D25" s="1"/>
      <c r="E25" s="1"/>
    </row>
    <row r="26" spans="1:5" x14ac:dyDescent="0.35">
      <c r="A26" s="94" t="s">
        <v>272</v>
      </c>
      <c r="B26" s="1"/>
      <c r="C26" s="1"/>
      <c r="D26" s="1"/>
      <c r="E26" s="1"/>
    </row>
    <row r="27" spans="1:5" x14ac:dyDescent="0.35">
      <c r="A27" s="1"/>
      <c r="B27" s="94"/>
      <c r="C27" s="1"/>
      <c r="D27" s="1"/>
      <c r="E27" s="1"/>
    </row>
    <row r="28" spans="1:5" x14ac:dyDescent="0.35">
      <c r="A28" s="1"/>
      <c r="B28" s="1"/>
      <c r="C28" s="1"/>
      <c r="D28" s="1"/>
      <c r="E28" s="1"/>
    </row>
    <row r="29" spans="1:5" x14ac:dyDescent="0.35">
      <c r="A29" s="1"/>
      <c r="B29" s="94"/>
      <c r="C29" s="1"/>
      <c r="D29" s="1"/>
      <c r="E29" s="1"/>
    </row>
    <row r="32" spans="1:5" x14ac:dyDescent="0.35">
      <c r="A32" s="82"/>
    </row>
    <row r="34" spans="1:10" x14ac:dyDescent="0.35">
      <c r="A34" s="82"/>
      <c r="B34" s="82"/>
      <c r="H34" s="194"/>
      <c r="I34" s="194"/>
      <c r="J34" s="195"/>
    </row>
    <row r="35" spans="1:10" ht="15.5" x14ac:dyDescent="0.35">
      <c r="A35" s="96"/>
      <c r="B35" s="97"/>
      <c r="H35" s="194"/>
      <c r="I35" s="194"/>
      <c r="J35" s="195"/>
    </row>
    <row r="36" spans="1:10" ht="15.5" x14ac:dyDescent="0.35">
      <c r="A36" s="96"/>
      <c r="B36" s="97"/>
      <c r="H36" s="194"/>
      <c r="I36" s="194"/>
      <c r="J36" s="195"/>
    </row>
    <row r="37" spans="1:10" ht="15.5" x14ac:dyDescent="0.35">
      <c r="A37" s="96"/>
      <c r="B37" s="97"/>
      <c r="H37" s="194"/>
      <c r="I37" s="194"/>
      <c r="J37" s="195"/>
    </row>
    <row r="38" spans="1:10" ht="15.5" x14ac:dyDescent="0.35">
      <c r="A38" s="98"/>
      <c r="B38" s="99"/>
      <c r="H38" s="194"/>
      <c r="I38" s="194"/>
      <c r="J38" s="195"/>
    </row>
    <row r="39" spans="1:10" ht="15.5" x14ac:dyDescent="0.35">
      <c r="A39" s="96"/>
      <c r="B39" s="97"/>
      <c r="H39" s="194"/>
      <c r="I39" s="194"/>
      <c r="J39" s="195"/>
    </row>
    <row r="40" spans="1:10" ht="15.5" x14ac:dyDescent="0.35">
      <c r="A40" s="96"/>
      <c r="B40" s="97"/>
      <c r="H40" s="194"/>
      <c r="I40" s="194"/>
      <c r="J40" s="195"/>
    </row>
    <row r="41" spans="1:10" ht="15.5" x14ac:dyDescent="0.35">
      <c r="A41" s="96"/>
      <c r="B41" s="97"/>
      <c r="H41" s="194"/>
      <c r="I41" s="194"/>
      <c r="J41" s="195"/>
    </row>
    <row r="42" spans="1:10" ht="15.5" x14ac:dyDescent="0.35">
      <c r="A42" s="96"/>
      <c r="B42" s="97"/>
      <c r="H42" s="194"/>
      <c r="I42" s="194"/>
      <c r="J42" s="195"/>
    </row>
    <row r="43" spans="1:10" ht="15.5" x14ac:dyDescent="0.35">
      <c r="A43" s="96"/>
      <c r="B43" s="97"/>
      <c r="H43" s="194"/>
      <c r="I43" s="194"/>
      <c r="J43" s="195"/>
    </row>
    <row r="44" spans="1:10" ht="15.5" x14ac:dyDescent="0.35">
      <c r="A44" s="96"/>
      <c r="B44" s="97"/>
      <c r="H44" s="194"/>
      <c r="I44" s="194"/>
      <c r="J44" s="195"/>
    </row>
    <row r="45" spans="1:10" ht="15.5" x14ac:dyDescent="0.35">
      <c r="A45" s="96"/>
      <c r="B45" s="97"/>
      <c r="H45" s="194"/>
      <c r="I45" s="194"/>
      <c r="J45" s="195"/>
    </row>
    <row r="46" spans="1:10" ht="15.5" x14ac:dyDescent="0.35">
      <c r="A46" s="96"/>
      <c r="B46" s="97"/>
      <c r="H46" s="194"/>
      <c r="I46" s="194"/>
      <c r="J46" s="195"/>
    </row>
    <row r="47" spans="1:10" ht="15.5" x14ac:dyDescent="0.35">
      <c r="A47" s="96"/>
      <c r="B47" s="97"/>
      <c r="H47" s="194"/>
      <c r="I47" s="194"/>
      <c r="J47" s="195"/>
    </row>
    <row r="48" spans="1:10" ht="15.5" x14ac:dyDescent="0.35">
      <c r="A48" s="96"/>
      <c r="B48" s="97"/>
      <c r="H48" s="194"/>
      <c r="I48" s="194"/>
      <c r="J48" s="195"/>
    </row>
    <row r="49" spans="1:2" ht="15.5" x14ac:dyDescent="0.35">
      <c r="A49" s="96"/>
      <c r="B49" s="97"/>
    </row>
    <row r="50" spans="1:2" ht="15.5" x14ac:dyDescent="0.35">
      <c r="A50" s="96"/>
      <c r="B50" s="97"/>
    </row>
    <row r="51" spans="1:2" ht="15.5" x14ac:dyDescent="0.35">
      <c r="A51" s="96"/>
      <c r="B51" s="97"/>
    </row>
    <row r="52" spans="1:2" ht="15.5" x14ac:dyDescent="0.35">
      <c r="A52" s="96"/>
      <c r="B52" s="97"/>
    </row>
    <row r="53" spans="1:2" ht="15.5" x14ac:dyDescent="0.35">
      <c r="A53" s="96"/>
      <c r="B53" s="97"/>
    </row>
    <row r="54" spans="1:2" x14ac:dyDescent="0.35">
      <c r="A54" s="1"/>
      <c r="B54" s="1"/>
    </row>
    <row r="55" spans="1:2" ht="15.5" x14ac:dyDescent="0.35">
      <c r="A55" s="170"/>
      <c r="B55" s="170"/>
    </row>
  </sheetData>
  <hyperlinks>
    <hyperlink ref="A26" r:id="rId1" xr:uid="{AA8BB6AD-563C-465C-B8BB-498CD9000AB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97A2E-371F-46FC-B5C7-01EA41E4F7E9}">
  <dimension ref="A1:P32"/>
  <sheetViews>
    <sheetView tabSelected="1" workbookViewId="0">
      <selection activeCell="H32" sqref="H32"/>
    </sheetView>
  </sheetViews>
  <sheetFormatPr defaultRowHeight="14.5" x14ac:dyDescent="0.35"/>
  <cols>
    <col min="1" max="1" width="15" customWidth="1"/>
  </cols>
  <sheetData>
    <row r="1" spans="1:16" x14ac:dyDescent="0.35">
      <c r="A1" t="s">
        <v>102</v>
      </c>
      <c r="C1" s="94" t="s">
        <v>359</v>
      </c>
    </row>
    <row r="3" spans="1:16" ht="15" thickBot="1" x14ac:dyDescent="0.4">
      <c r="A3" s="254" t="s">
        <v>280</v>
      </c>
      <c r="B3" s="254"/>
      <c r="C3" s="255" t="s">
        <v>281</v>
      </c>
      <c r="D3" s="255" t="s">
        <v>282</v>
      </c>
      <c r="E3" s="255" t="s">
        <v>283</v>
      </c>
      <c r="F3" s="255" t="s">
        <v>284</v>
      </c>
      <c r="G3" s="255" t="s">
        <v>285</v>
      </c>
      <c r="H3" s="255" t="s">
        <v>286</v>
      </c>
      <c r="I3" s="255" t="s">
        <v>287</v>
      </c>
      <c r="J3" s="255" t="s">
        <v>288</v>
      </c>
      <c r="K3" s="255" t="s">
        <v>289</v>
      </c>
      <c r="L3" s="255" t="s">
        <v>290</v>
      </c>
      <c r="M3" s="255" t="s">
        <v>291</v>
      </c>
      <c r="N3" s="255" t="s">
        <v>292</v>
      </c>
    </row>
    <row r="4" spans="1:16" x14ac:dyDescent="0.35">
      <c r="A4" s="258" t="s">
        <v>195</v>
      </c>
      <c r="B4" s="256" t="s">
        <v>293</v>
      </c>
      <c r="C4" s="257">
        <v>53675</v>
      </c>
      <c r="D4" s="257">
        <v>44815</v>
      </c>
      <c r="E4" s="257">
        <v>45594</v>
      </c>
      <c r="F4" s="257">
        <v>36422</v>
      </c>
      <c r="G4" s="257">
        <v>41383</v>
      </c>
      <c r="H4" s="257">
        <v>39447</v>
      </c>
      <c r="I4" s="257">
        <v>35940</v>
      </c>
      <c r="J4" s="257">
        <v>38341</v>
      </c>
      <c r="K4" s="257">
        <v>37535</v>
      </c>
      <c r="L4" s="257">
        <v>40745</v>
      </c>
      <c r="M4" s="257">
        <v>42690</v>
      </c>
      <c r="N4" s="257">
        <v>42295</v>
      </c>
    </row>
    <row r="5" spans="1:16" ht="15" thickBot="1" x14ac:dyDescent="0.4">
      <c r="A5" s="259" t="s">
        <v>280</v>
      </c>
      <c r="B5" s="259"/>
      <c r="C5" s="260" t="s">
        <v>294</v>
      </c>
      <c r="D5" s="260" t="s">
        <v>295</v>
      </c>
      <c r="E5" s="260" t="s">
        <v>296</v>
      </c>
      <c r="F5" s="260" t="s">
        <v>297</v>
      </c>
      <c r="G5" s="260" t="s">
        <v>298</v>
      </c>
      <c r="H5" s="260" t="s">
        <v>299</v>
      </c>
      <c r="I5" s="260" t="s">
        <v>300</v>
      </c>
      <c r="J5" s="260" t="s">
        <v>301</v>
      </c>
      <c r="K5" s="260" t="s">
        <v>302</v>
      </c>
      <c r="L5" s="260" t="s">
        <v>303</v>
      </c>
      <c r="M5" s="260" t="s">
        <v>304</v>
      </c>
      <c r="N5" s="260" t="s">
        <v>305</v>
      </c>
    </row>
    <row r="6" spans="1:16" x14ac:dyDescent="0.35">
      <c r="A6" s="262" t="s">
        <v>195</v>
      </c>
      <c r="B6" s="261" t="s">
        <v>293</v>
      </c>
      <c r="C6" s="263">
        <v>60075</v>
      </c>
      <c r="D6" s="263">
        <v>45918</v>
      </c>
      <c r="E6" s="263">
        <v>47726</v>
      </c>
      <c r="F6" s="263">
        <v>43478</v>
      </c>
      <c r="G6" s="263">
        <v>39951</v>
      </c>
      <c r="H6" s="263">
        <v>37213</v>
      </c>
      <c r="I6" s="263">
        <v>38059</v>
      </c>
      <c r="J6" s="263">
        <v>37610</v>
      </c>
      <c r="K6" s="263">
        <v>34682</v>
      </c>
      <c r="L6" s="263">
        <v>41466</v>
      </c>
      <c r="M6" s="263">
        <v>40971</v>
      </c>
      <c r="N6" s="263">
        <v>38710</v>
      </c>
    </row>
    <row r="7" spans="1:16" ht="16" thickBot="1" x14ac:dyDescent="0.4">
      <c r="A7" s="267" t="s">
        <v>280</v>
      </c>
      <c r="B7" s="267"/>
      <c r="C7" s="268" t="s">
        <v>306</v>
      </c>
      <c r="D7" s="268" t="s">
        <v>307</v>
      </c>
      <c r="E7" s="268" t="s">
        <v>308</v>
      </c>
      <c r="F7" s="268" t="s">
        <v>309</v>
      </c>
      <c r="G7" s="268" t="s">
        <v>310</v>
      </c>
      <c r="H7" s="268" t="s">
        <v>311</v>
      </c>
      <c r="I7" s="268" t="s">
        <v>312</v>
      </c>
      <c r="J7" s="268" t="s">
        <v>313</v>
      </c>
      <c r="K7" s="269" t="s">
        <v>314</v>
      </c>
      <c r="L7" s="268" t="s">
        <v>315</v>
      </c>
      <c r="M7" s="268" t="s">
        <v>316</v>
      </c>
      <c r="N7" s="268" t="s">
        <v>317</v>
      </c>
    </row>
    <row r="8" spans="1:16" x14ac:dyDescent="0.35">
      <c r="A8" s="265" t="s">
        <v>195</v>
      </c>
      <c r="B8" s="264" t="s">
        <v>293</v>
      </c>
      <c r="C8" s="266">
        <v>50385</v>
      </c>
      <c r="D8" s="266">
        <v>42847</v>
      </c>
      <c r="E8" s="266">
        <v>41117</v>
      </c>
      <c r="F8" s="266">
        <v>41167</v>
      </c>
      <c r="G8" s="266">
        <v>41504</v>
      </c>
      <c r="H8" s="266">
        <v>36180</v>
      </c>
      <c r="I8" s="266">
        <v>39614</v>
      </c>
      <c r="J8" s="266">
        <v>36271</v>
      </c>
      <c r="K8" s="266">
        <v>37462</v>
      </c>
      <c r="L8" s="266">
        <v>43257</v>
      </c>
      <c r="M8" s="266">
        <v>42280</v>
      </c>
      <c r="N8" s="266">
        <v>44286</v>
      </c>
    </row>
    <row r="9" spans="1:16" ht="16" thickBot="1" x14ac:dyDescent="0.4">
      <c r="A9" s="270" t="s">
        <v>280</v>
      </c>
      <c r="B9" s="270"/>
      <c r="C9" s="271" t="s">
        <v>318</v>
      </c>
      <c r="D9" s="271" t="s">
        <v>319</v>
      </c>
      <c r="E9" s="271" t="s">
        <v>320</v>
      </c>
      <c r="F9" s="271" t="s">
        <v>321</v>
      </c>
      <c r="G9" s="271" t="s">
        <v>322</v>
      </c>
      <c r="H9" s="271" t="s">
        <v>323</v>
      </c>
      <c r="I9" s="271" t="s">
        <v>324</v>
      </c>
      <c r="J9" s="271" t="s">
        <v>325</v>
      </c>
      <c r="K9" s="272" t="s">
        <v>326</v>
      </c>
      <c r="L9" s="271" t="s">
        <v>327</v>
      </c>
      <c r="M9" s="271" t="s">
        <v>328</v>
      </c>
      <c r="N9" s="271" t="s">
        <v>329</v>
      </c>
    </row>
    <row r="10" spans="1:16" x14ac:dyDescent="0.35">
      <c r="A10" s="274" t="s">
        <v>195</v>
      </c>
      <c r="B10" s="273" t="s">
        <v>293</v>
      </c>
      <c r="C10" s="275">
        <v>53043</v>
      </c>
      <c r="D10" s="275">
        <v>40803</v>
      </c>
      <c r="E10" s="275">
        <v>46510</v>
      </c>
      <c r="F10" s="275">
        <v>83494</v>
      </c>
      <c r="G10" s="275">
        <v>49405</v>
      </c>
      <c r="H10" s="275">
        <v>39881</v>
      </c>
      <c r="I10" s="275">
        <v>38182</v>
      </c>
      <c r="J10" s="275">
        <v>34752</v>
      </c>
      <c r="K10" s="275">
        <v>39818</v>
      </c>
      <c r="L10" s="275">
        <v>43250</v>
      </c>
      <c r="M10" s="275">
        <v>47902</v>
      </c>
      <c r="N10" s="275">
        <v>52660</v>
      </c>
    </row>
    <row r="11" spans="1:16" ht="16" thickBot="1" x14ac:dyDescent="0.4">
      <c r="A11" s="278" t="s">
        <v>280</v>
      </c>
      <c r="B11" s="278"/>
      <c r="C11" s="276" t="s">
        <v>330</v>
      </c>
      <c r="D11" s="276" t="s">
        <v>331</v>
      </c>
      <c r="E11" s="276" t="s">
        <v>332</v>
      </c>
      <c r="F11" s="276" t="s">
        <v>333</v>
      </c>
      <c r="G11" s="276" t="s">
        <v>334</v>
      </c>
      <c r="H11" s="276" t="s">
        <v>335</v>
      </c>
      <c r="I11" s="276" t="s">
        <v>336</v>
      </c>
      <c r="J11" s="276" t="s">
        <v>337</v>
      </c>
      <c r="K11" s="277" t="s">
        <v>338</v>
      </c>
      <c r="L11" s="276" t="s">
        <v>339</v>
      </c>
      <c r="M11" s="276" t="s">
        <v>340</v>
      </c>
      <c r="N11" s="276" t="s">
        <v>341</v>
      </c>
    </row>
    <row r="12" spans="1:16" x14ac:dyDescent="0.35">
      <c r="A12" s="282" t="s">
        <v>195</v>
      </c>
      <c r="B12" s="281" t="s">
        <v>293</v>
      </c>
      <c r="C12" s="283">
        <v>68796</v>
      </c>
      <c r="D12" s="283">
        <v>55489</v>
      </c>
      <c r="E12" s="283">
        <v>45567</v>
      </c>
      <c r="F12" s="283">
        <v>38899</v>
      </c>
      <c r="G12" s="283">
        <v>35401</v>
      </c>
      <c r="H12" s="283">
        <v>38611</v>
      </c>
      <c r="I12" s="283">
        <v>40467</v>
      </c>
      <c r="J12" s="283">
        <v>40460</v>
      </c>
    </row>
    <row r="13" spans="1:16" x14ac:dyDescent="0.35">
      <c r="A13" s="236"/>
    </row>
    <row r="14" spans="1:16" x14ac:dyDescent="0.35">
      <c r="A14" s="236"/>
    </row>
    <row r="15" spans="1:16" x14ac:dyDescent="0.35">
      <c r="A15" s="236"/>
      <c r="C15" t="s">
        <v>343</v>
      </c>
      <c r="D15" s="1" t="s">
        <v>344</v>
      </c>
      <c r="E15" s="1" t="s">
        <v>345</v>
      </c>
      <c r="F15" s="1" t="s">
        <v>346</v>
      </c>
      <c r="G15" s="1" t="s">
        <v>342</v>
      </c>
      <c r="H15" s="1" t="s">
        <v>347</v>
      </c>
      <c r="I15" s="1" t="s">
        <v>348</v>
      </c>
      <c r="J15" s="1" t="s">
        <v>349</v>
      </c>
      <c r="K15" s="1" t="s">
        <v>350</v>
      </c>
      <c r="L15" s="1" t="s">
        <v>351</v>
      </c>
      <c r="M15" s="1" t="s">
        <v>352</v>
      </c>
      <c r="N15" s="1" t="s">
        <v>353</v>
      </c>
      <c r="P15" t="s">
        <v>354</v>
      </c>
    </row>
    <row r="16" spans="1:16" x14ac:dyDescent="0.35">
      <c r="A16" s="280">
        <v>2017</v>
      </c>
      <c r="C16" s="73">
        <f>C4</f>
        <v>53675</v>
      </c>
      <c r="D16" s="73">
        <f t="shared" ref="D16:N16" si="0">D4</f>
        <v>44815</v>
      </c>
      <c r="E16" s="73">
        <f t="shared" si="0"/>
        <v>45594</v>
      </c>
      <c r="F16" s="73">
        <f t="shared" si="0"/>
        <v>36422</v>
      </c>
      <c r="G16" s="73">
        <f t="shared" si="0"/>
        <v>41383</v>
      </c>
      <c r="H16" s="73">
        <f t="shared" si="0"/>
        <v>39447</v>
      </c>
      <c r="I16" s="73">
        <f t="shared" si="0"/>
        <v>35940</v>
      </c>
      <c r="J16" s="73">
        <f t="shared" si="0"/>
        <v>38341</v>
      </c>
      <c r="K16" s="73">
        <f t="shared" si="0"/>
        <v>37535</v>
      </c>
      <c r="L16" s="73">
        <f t="shared" si="0"/>
        <v>40745</v>
      </c>
      <c r="M16" s="73">
        <f t="shared" si="0"/>
        <v>42690</v>
      </c>
      <c r="N16" s="73">
        <f t="shared" si="0"/>
        <v>42295</v>
      </c>
      <c r="P16" s="73">
        <f>AVERAGE(C16:N16)</f>
        <v>41573.5</v>
      </c>
    </row>
    <row r="17" spans="1:16" x14ac:dyDescent="0.35">
      <c r="A17" s="280">
        <v>2018</v>
      </c>
      <c r="C17" s="73">
        <f>C6</f>
        <v>60075</v>
      </c>
      <c r="D17" s="73">
        <f t="shared" ref="D17:N17" si="1">D6</f>
        <v>45918</v>
      </c>
      <c r="E17" s="73">
        <f t="shared" si="1"/>
        <v>47726</v>
      </c>
      <c r="F17" s="73">
        <f t="shared" si="1"/>
        <v>43478</v>
      </c>
      <c r="G17" s="73">
        <f t="shared" si="1"/>
        <v>39951</v>
      </c>
      <c r="H17" s="73">
        <f t="shared" si="1"/>
        <v>37213</v>
      </c>
      <c r="I17" s="73">
        <f t="shared" si="1"/>
        <v>38059</v>
      </c>
      <c r="J17" s="73">
        <f t="shared" si="1"/>
        <v>37610</v>
      </c>
      <c r="K17" s="73">
        <f t="shared" si="1"/>
        <v>34682</v>
      </c>
      <c r="L17" s="73">
        <f t="shared" si="1"/>
        <v>41466</v>
      </c>
      <c r="M17" s="73">
        <f t="shared" si="1"/>
        <v>40971</v>
      </c>
      <c r="N17" s="73">
        <f t="shared" si="1"/>
        <v>38710</v>
      </c>
      <c r="P17" s="73">
        <f t="shared" ref="P17:P23" si="2">AVERAGE(C17:N17)</f>
        <v>42154.916666666664</v>
      </c>
    </row>
    <row r="18" spans="1:16" x14ac:dyDescent="0.35">
      <c r="A18" s="280">
        <v>2019</v>
      </c>
      <c r="C18" s="73">
        <f>C8</f>
        <v>50385</v>
      </c>
      <c r="D18" s="73">
        <f t="shared" ref="D18:N18" si="3">D8</f>
        <v>42847</v>
      </c>
      <c r="E18" s="73">
        <f t="shared" si="3"/>
        <v>41117</v>
      </c>
      <c r="F18" s="73">
        <f t="shared" si="3"/>
        <v>41167</v>
      </c>
      <c r="G18" s="73">
        <f t="shared" si="3"/>
        <v>41504</v>
      </c>
      <c r="H18" s="73">
        <f t="shared" si="3"/>
        <v>36180</v>
      </c>
      <c r="I18" s="73">
        <f t="shared" si="3"/>
        <v>39614</v>
      </c>
      <c r="J18" s="73">
        <f t="shared" si="3"/>
        <v>36271</v>
      </c>
      <c r="K18" s="73">
        <f t="shared" si="3"/>
        <v>37462</v>
      </c>
      <c r="L18" s="73">
        <f t="shared" si="3"/>
        <v>43257</v>
      </c>
      <c r="M18" s="73">
        <f t="shared" si="3"/>
        <v>42280</v>
      </c>
      <c r="N18" s="73">
        <f t="shared" si="3"/>
        <v>44286</v>
      </c>
      <c r="P18" s="73">
        <f t="shared" si="2"/>
        <v>41364.166666666664</v>
      </c>
    </row>
    <row r="19" spans="1:16" x14ac:dyDescent="0.35">
      <c r="A19" s="280">
        <v>2020</v>
      </c>
      <c r="C19" s="73">
        <f>C10</f>
        <v>53043</v>
      </c>
      <c r="D19" s="73">
        <f t="shared" ref="D19:N19" si="4">D10</f>
        <v>40803</v>
      </c>
      <c r="E19" s="73">
        <f t="shared" si="4"/>
        <v>46510</v>
      </c>
      <c r="F19" s="73">
        <f t="shared" si="4"/>
        <v>83494</v>
      </c>
      <c r="G19" s="73">
        <f t="shared" si="4"/>
        <v>49405</v>
      </c>
      <c r="H19" s="73">
        <f t="shared" si="4"/>
        <v>39881</v>
      </c>
      <c r="I19" s="73">
        <f t="shared" si="4"/>
        <v>38182</v>
      </c>
      <c r="J19" s="73">
        <f t="shared" si="4"/>
        <v>34752</v>
      </c>
      <c r="K19" s="73">
        <f t="shared" si="4"/>
        <v>39818</v>
      </c>
      <c r="L19" s="73">
        <f t="shared" si="4"/>
        <v>43250</v>
      </c>
      <c r="M19" s="73">
        <f t="shared" si="4"/>
        <v>47902</v>
      </c>
      <c r="N19" s="73">
        <f t="shared" si="4"/>
        <v>52660</v>
      </c>
      <c r="P19" s="73">
        <f t="shared" si="2"/>
        <v>47475</v>
      </c>
    </row>
    <row r="20" spans="1:16" x14ac:dyDescent="0.35">
      <c r="A20" s="280">
        <v>2021</v>
      </c>
      <c r="C20" s="73">
        <f>C12</f>
        <v>68796</v>
      </c>
      <c r="D20" s="73">
        <f t="shared" ref="D20:J20" si="5">D12</f>
        <v>55489</v>
      </c>
      <c r="E20" s="73">
        <f t="shared" si="5"/>
        <v>45567</v>
      </c>
      <c r="F20" s="73">
        <f t="shared" si="5"/>
        <v>38899</v>
      </c>
      <c r="G20" s="73">
        <f t="shared" si="5"/>
        <v>35401</v>
      </c>
      <c r="H20" s="73">
        <f t="shared" si="5"/>
        <v>38611</v>
      </c>
      <c r="I20" s="73">
        <f t="shared" si="5"/>
        <v>40467</v>
      </c>
      <c r="J20" s="73">
        <f t="shared" si="5"/>
        <v>40460</v>
      </c>
      <c r="K20" s="73"/>
      <c r="L20" s="73"/>
      <c r="M20" s="73"/>
      <c r="N20" s="73"/>
      <c r="P20" s="73">
        <f t="shared" si="2"/>
        <v>45461.25</v>
      </c>
    </row>
    <row r="21" spans="1:16" x14ac:dyDescent="0.35">
      <c r="A21" s="236"/>
      <c r="P21" s="73"/>
    </row>
    <row r="22" spans="1:16" x14ac:dyDescent="0.35">
      <c r="A22" s="236" t="s">
        <v>355</v>
      </c>
      <c r="P22" s="73"/>
    </row>
    <row r="23" spans="1:16" x14ac:dyDescent="0.35">
      <c r="A23" s="236"/>
      <c r="B23" t="s">
        <v>354</v>
      </c>
      <c r="C23" s="73">
        <f>AVERAGE(C16:C18)</f>
        <v>54711.666666666664</v>
      </c>
      <c r="D23" s="73">
        <f t="shared" ref="D23:N23" si="6">AVERAGE(D16:D18)</f>
        <v>44526.666666666664</v>
      </c>
      <c r="E23" s="73">
        <f t="shared" si="6"/>
        <v>44812.333333333336</v>
      </c>
      <c r="F23" s="73">
        <f t="shared" si="6"/>
        <v>40355.666666666664</v>
      </c>
      <c r="G23" s="73">
        <f t="shared" si="6"/>
        <v>40946</v>
      </c>
      <c r="H23" s="73">
        <f t="shared" si="6"/>
        <v>37613.333333333336</v>
      </c>
      <c r="I23" s="73">
        <f t="shared" si="6"/>
        <v>37871</v>
      </c>
      <c r="J23" s="73">
        <f t="shared" si="6"/>
        <v>37407.333333333336</v>
      </c>
      <c r="K23" s="73">
        <f t="shared" si="6"/>
        <v>36559.666666666664</v>
      </c>
      <c r="L23" s="73">
        <f t="shared" si="6"/>
        <v>41822.666666666664</v>
      </c>
      <c r="M23" s="73">
        <f t="shared" si="6"/>
        <v>41980.333333333336</v>
      </c>
      <c r="N23" s="73">
        <f t="shared" si="6"/>
        <v>41763.666666666664</v>
      </c>
      <c r="P23" s="73">
        <f t="shared" si="2"/>
        <v>41697.527777777774</v>
      </c>
    </row>
    <row r="24" spans="1:16" x14ac:dyDescent="0.35">
      <c r="A24" s="236"/>
      <c r="B24" t="s">
        <v>357</v>
      </c>
      <c r="C24" s="73">
        <f>C23-$P$23</f>
        <v>13014.138888888891</v>
      </c>
      <c r="D24" s="73">
        <f t="shared" ref="D24:N24" si="7">D23-$P$23</f>
        <v>2829.1388888888905</v>
      </c>
      <c r="E24" s="73">
        <f t="shared" si="7"/>
        <v>3114.805555555562</v>
      </c>
      <c r="F24" s="73">
        <f t="shared" si="7"/>
        <v>-1341.8611111111095</v>
      </c>
      <c r="G24" s="73">
        <f t="shared" si="7"/>
        <v>-751.52777777777374</v>
      </c>
      <c r="H24" s="73">
        <f t="shared" si="7"/>
        <v>-4084.194444444438</v>
      </c>
      <c r="I24" s="73">
        <f t="shared" si="7"/>
        <v>-3826.5277777777737</v>
      </c>
      <c r="J24" s="73">
        <f t="shared" si="7"/>
        <v>-4290.194444444438</v>
      </c>
      <c r="K24" s="73">
        <f t="shared" si="7"/>
        <v>-5137.8611111111095</v>
      </c>
      <c r="L24" s="73">
        <f t="shared" si="7"/>
        <v>125.13888888889051</v>
      </c>
      <c r="M24" s="73">
        <f t="shared" si="7"/>
        <v>282.80555555556202</v>
      </c>
      <c r="N24" s="73">
        <f t="shared" si="7"/>
        <v>66.138888888890506</v>
      </c>
    </row>
    <row r="25" spans="1:16" x14ac:dyDescent="0.35">
      <c r="A25" s="236"/>
      <c r="B25" t="s">
        <v>356</v>
      </c>
      <c r="C25" s="130">
        <f>C24/$P$23</f>
        <v>0.31210816521896123</v>
      </c>
      <c r="D25" s="130">
        <f t="shared" ref="D25:N25" si="8">D24/$P$23</f>
        <v>6.7849079781575158E-2</v>
      </c>
      <c r="E25" s="130">
        <f t="shared" si="8"/>
        <v>7.4700005529238167E-2</v>
      </c>
      <c r="F25" s="130">
        <f t="shared" si="8"/>
        <v>-3.2180831397544851E-2</v>
      </c>
      <c r="G25" s="130">
        <f t="shared" si="8"/>
        <v>-1.8023317396248417E-2</v>
      </c>
      <c r="H25" s="130">
        <f t="shared" si="8"/>
        <v>-9.7948119759298138E-2</v>
      </c>
      <c r="I25" s="130">
        <f t="shared" si="8"/>
        <v>-9.1768696652012982E-2</v>
      </c>
      <c r="J25" s="130">
        <f t="shared" si="8"/>
        <v>-0.10288846061350546</v>
      </c>
      <c r="K25" s="130">
        <f t="shared" si="8"/>
        <v>-0.12321740364303503</v>
      </c>
      <c r="L25" s="130">
        <f t="shared" si="8"/>
        <v>3.0011105108150287E-3</v>
      </c>
      <c r="M25" s="130">
        <f t="shared" si="8"/>
        <v>6.78230990246573E-3</v>
      </c>
      <c r="N25" s="130">
        <f t="shared" si="8"/>
        <v>1.5861585185906028E-3</v>
      </c>
    </row>
    <row r="26" spans="1:16" x14ac:dyDescent="0.35">
      <c r="A26" s="236"/>
    </row>
    <row r="27" spans="1:16" x14ac:dyDescent="0.35">
      <c r="A27" s="236" t="s">
        <v>358</v>
      </c>
    </row>
    <row r="28" spans="1:16" x14ac:dyDescent="0.35">
      <c r="A28" s="236"/>
      <c r="B28" t="s">
        <v>354</v>
      </c>
      <c r="C28" s="73">
        <f>C20</f>
        <v>68796</v>
      </c>
      <c r="D28" s="73">
        <f t="shared" ref="D28:J28" si="9">D20</f>
        <v>55489</v>
      </c>
      <c r="E28" s="73">
        <f t="shared" si="9"/>
        <v>45567</v>
      </c>
      <c r="F28" s="73">
        <f t="shared" si="9"/>
        <v>38899</v>
      </c>
      <c r="G28" s="73">
        <f t="shared" si="9"/>
        <v>35401</v>
      </c>
      <c r="H28" s="73">
        <f t="shared" si="9"/>
        <v>38611</v>
      </c>
      <c r="I28" s="73">
        <f t="shared" si="9"/>
        <v>40467</v>
      </c>
      <c r="J28" s="73">
        <f t="shared" si="9"/>
        <v>40460</v>
      </c>
      <c r="K28" s="73"/>
      <c r="L28" s="73"/>
      <c r="M28" s="73"/>
      <c r="N28" s="73"/>
      <c r="P28" s="73">
        <f t="shared" ref="P28" si="10">AVERAGE(C28:N28)</f>
        <v>45461.25</v>
      </c>
    </row>
    <row r="29" spans="1:16" x14ac:dyDescent="0.35">
      <c r="A29" s="236"/>
      <c r="B29" s="1" t="s">
        <v>357</v>
      </c>
      <c r="C29" s="73">
        <f>C28-$P$23</f>
        <v>27098.472222222226</v>
      </c>
      <c r="D29" s="73">
        <f t="shared" ref="D29" si="11">D28-$P$23</f>
        <v>13791.472222222226</v>
      </c>
      <c r="E29" s="73">
        <f t="shared" ref="E29" si="12">E28-$P$23</f>
        <v>3869.4722222222263</v>
      </c>
      <c r="F29" s="73">
        <f t="shared" ref="F29" si="13">F28-$P$23</f>
        <v>-2798.5277777777737</v>
      </c>
      <c r="G29" s="73">
        <f t="shared" ref="G29" si="14">G28-$P$23</f>
        <v>-6296.5277777777737</v>
      </c>
      <c r="H29" s="73">
        <f t="shared" ref="H29" si="15">H28-$P$23</f>
        <v>-3086.5277777777737</v>
      </c>
      <c r="I29" s="73">
        <f t="shared" ref="I29" si="16">I28-$P$23</f>
        <v>-1230.5277777777737</v>
      </c>
      <c r="J29" s="73">
        <f t="shared" ref="J29" si="17">J28-$P$23</f>
        <v>-1237.5277777777737</v>
      </c>
      <c r="K29" s="73"/>
      <c r="L29" s="73"/>
      <c r="M29" s="73"/>
      <c r="N29" s="73"/>
    </row>
    <row r="30" spans="1:16" x14ac:dyDescent="0.35">
      <c r="A30" s="236"/>
      <c r="B30" t="s">
        <v>356</v>
      </c>
      <c r="C30" s="130">
        <f>C29/$P$28</f>
        <v>0.59607846731496006</v>
      </c>
      <c r="D30" s="130">
        <f t="shared" ref="D30:J30" si="18">D29/$P$28</f>
        <v>0.30336764216167011</v>
      </c>
      <c r="E30" s="130">
        <f t="shared" si="18"/>
        <v>8.5115834303329238E-2</v>
      </c>
      <c r="F30" s="130">
        <f t="shared" si="18"/>
        <v>-6.1558531227754926E-2</v>
      </c>
      <c r="G30" s="130">
        <f t="shared" si="18"/>
        <v>-0.13850318189178198</v>
      </c>
      <c r="H30" s="130">
        <f t="shared" si="18"/>
        <v>-6.7893596805582199E-2</v>
      </c>
      <c r="I30" s="130">
        <f t="shared" si="18"/>
        <v>-2.7067618637362012E-2</v>
      </c>
      <c r="J30" s="130">
        <f t="shared" si="18"/>
        <v>-2.7221595925711981E-2</v>
      </c>
      <c r="K30" s="1"/>
      <c r="L30" s="1"/>
      <c r="M30" s="1"/>
      <c r="N30" s="1"/>
    </row>
    <row r="32" spans="1:16" x14ac:dyDescent="0.35">
      <c r="A32" t="s">
        <v>360</v>
      </c>
      <c r="F32" s="279">
        <f>J28/P23</f>
        <v>0.97032131534576738</v>
      </c>
    </row>
  </sheetData>
  <phoneticPr fontId="35" type="noConversion"/>
  <hyperlinks>
    <hyperlink ref="C1" r:id="rId1" xr:uid="{02FAE621-AE49-483A-84C2-59B966307AD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631A2-AB64-453E-8B9B-1761D3D66334}">
  <dimension ref="A1:X133"/>
  <sheetViews>
    <sheetView topLeftCell="D1" zoomScale="130" zoomScaleNormal="130" workbookViewId="0">
      <selection activeCell="H53" sqref="H53"/>
    </sheetView>
  </sheetViews>
  <sheetFormatPr defaultColWidth="9.1796875" defaultRowHeight="14.5" x14ac:dyDescent="0.35"/>
  <cols>
    <col min="1" max="1" width="13.1796875" style="1" customWidth="1"/>
    <col min="2" max="2" width="5.7265625" style="1" customWidth="1"/>
    <col min="3" max="3" width="9.1796875" style="1"/>
    <col min="4" max="4" width="13.1796875" style="1" customWidth="1"/>
    <col min="5" max="5" width="10.1796875" style="1" customWidth="1"/>
    <col min="6" max="6" width="9.1796875" style="1"/>
    <col min="7" max="7" width="12.54296875" style="1" customWidth="1"/>
    <col min="8" max="8" width="11.1796875" style="1" customWidth="1"/>
    <col min="9" max="9" width="12.54296875" style="1" customWidth="1"/>
    <col min="10" max="10" width="14" style="1" customWidth="1"/>
    <col min="11" max="11" width="10.7265625" style="1" customWidth="1"/>
    <col min="12" max="12" width="9.1796875" style="1"/>
    <col min="13" max="13" width="12.453125" style="1" customWidth="1"/>
    <col min="14" max="14" width="10.7265625" style="1" customWidth="1"/>
    <col min="15" max="15" width="11.7265625" style="1" customWidth="1"/>
    <col min="16" max="16" width="10.81640625" style="1" customWidth="1"/>
    <col min="17" max="17" width="13.453125" style="1" customWidth="1"/>
    <col min="18" max="18" width="9.1796875" style="1"/>
    <col min="19" max="23" width="15.81640625" style="1" customWidth="1"/>
    <col min="24" max="24" width="16.54296875" style="1" customWidth="1"/>
    <col min="25" max="16384" width="9.1796875" style="1"/>
  </cols>
  <sheetData>
    <row r="1" spans="1:24" x14ac:dyDescent="0.35">
      <c r="A1" s="285" t="s">
        <v>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3"/>
      <c r="O1" s="3"/>
    </row>
    <row r="2" spans="1:24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4" x14ac:dyDescent="0.35">
      <c r="A3" s="6"/>
      <c r="B3" s="6"/>
      <c r="C3" s="284" t="s">
        <v>7</v>
      </c>
      <c r="D3" s="284"/>
      <c r="E3" s="284"/>
      <c r="F3" s="284" t="s">
        <v>1</v>
      </c>
      <c r="G3" s="284"/>
      <c r="H3" s="284"/>
      <c r="I3" s="284" t="s">
        <v>8</v>
      </c>
      <c r="J3" s="284"/>
      <c r="K3" s="284"/>
      <c r="L3" s="284" t="s">
        <v>9</v>
      </c>
      <c r="M3" s="284"/>
      <c r="N3" s="284"/>
      <c r="O3" s="284"/>
      <c r="P3" s="284"/>
      <c r="S3" s="286" t="s">
        <v>71</v>
      </c>
      <c r="T3" s="286"/>
      <c r="U3" s="286"/>
      <c r="V3" s="286"/>
      <c r="W3" s="286"/>
    </row>
    <row r="4" spans="1:24" ht="52.5" x14ac:dyDescent="0.35">
      <c r="A4" s="8" t="s">
        <v>10</v>
      </c>
      <c r="B4" s="9" t="s">
        <v>11</v>
      </c>
      <c r="C4" s="10" t="s">
        <v>12</v>
      </c>
      <c r="D4" s="10" t="s">
        <v>13</v>
      </c>
      <c r="E4" s="11" t="s">
        <v>60</v>
      </c>
      <c r="F4" s="10" t="s">
        <v>12</v>
      </c>
      <c r="G4" s="10" t="s">
        <v>13</v>
      </c>
      <c r="H4" s="11" t="s">
        <v>61</v>
      </c>
      <c r="I4" s="10" t="s">
        <v>12</v>
      </c>
      <c r="J4" s="10" t="s">
        <v>13</v>
      </c>
      <c r="K4" s="11" t="s">
        <v>62</v>
      </c>
      <c r="L4" s="10" t="s">
        <v>12</v>
      </c>
      <c r="M4" s="10" t="s">
        <v>13</v>
      </c>
      <c r="N4" s="11" t="s">
        <v>63</v>
      </c>
      <c r="O4" s="83" t="s">
        <v>57</v>
      </c>
      <c r="P4" s="84" t="s">
        <v>58</v>
      </c>
      <c r="Q4" s="85" t="s">
        <v>72</v>
      </c>
      <c r="S4" s="204" t="s">
        <v>54</v>
      </c>
      <c r="T4" s="204" t="s">
        <v>73</v>
      </c>
      <c r="U4" s="204" t="s">
        <v>74</v>
      </c>
      <c r="V4" s="204" t="s">
        <v>9</v>
      </c>
      <c r="W4" s="148" t="s">
        <v>249</v>
      </c>
      <c r="X4" s="82"/>
    </row>
    <row r="5" spans="1:24" x14ac:dyDescent="0.35">
      <c r="A5" s="14">
        <v>44204</v>
      </c>
      <c r="B5" s="15">
        <v>1</v>
      </c>
      <c r="C5" s="61">
        <f>'[1]Table 4'!C6+'[1]Table 5'!D6</f>
        <v>12200</v>
      </c>
      <c r="D5" s="53">
        <v>37803666</v>
      </c>
      <c r="E5" s="54">
        <f>'[1]Table 4'!E6+'[1]Table 5'!F6</f>
        <v>36.302781510000003</v>
      </c>
      <c r="F5" s="53">
        <f>'[1]Table 4'!J6+'[1]Table 5'!K6</f>
        <v>535</v>
      </c>
      <c r="G5" s="53">
        <v>1199228</v>
      </c>
      <c r="H5" s="54">
        <f>'[1]Table 4'!L6+'[1]Table 5'!M6</f>
        <v>11.281308742</v>
      </c>
      <c r="I5" s="53">
        <f>'[1]Table 4'!Q6+'[1]Table 5'!R6</f>
        <v>79</v>
      </c>
      <c r="J5" s="53">
        <v>89296</v>
      </c>
      <c r="K5" s="54">
        <f>'[1]Table 4'!S6+'[1]Table 5'!T6</f>
        <v>10.802109097999999</v>
      </c>
      <c r="L5" s="53">
        <f>'[1]Table 4'!X6+'[1]Table 5'!Y6</f>
        <v>18</v>
      </c>
      <c r="M5" s="53">
        <v>267629</v>
      </c>
      <c r="N5" s="62">
        <f>'[1]Table 5'!AA6</f>
        <v>1.4650133830000001</v>
      </c>
      <c r="O5" s="55">
        <f>G5+J5+M5</f>
        <v>1556153</v>
      </c>
      <c r="P5" s="63">
        <f>(G5*H5+J5*K5+M5*N5)/O5</f>
        <v>9.5655931780134029</v>
      </c>
      <c r="Q5" s="73">
        <f>D5+G5+J5+M5</f>
        <v>39359819</v>
      </c>
      <c r="S5" s="205">
        <f>C5/D5*100000</f>
        <v>32.272002403153181</v>
      </c>
      <c r="T5" s="205">
        <f>F5/G5*100000</f>
        <v>44.612033741707165</v>
      </c>
      <c r="U5" s="205">
        <f>I5/J5*100000</f>
        <v>88.469808278086361</v>
      </c>
      <c r="V5" s="205">
        <f>L5/M5*100000</f>
        <v>6.725728527177548</v>
      </c>
      <c r="W5" s="206">
        <f>S5/V5</f>
        <v>4.7982909617519347</v>
      </c>
    </row>
    <row r="6" spans="1:24" x14ac:dyDescent="0.35">
      <c r="A6" s="18">
        <v>44211</v>
      </c>
      <c r="B6" s="19">
        <v>2</v>
      </c>
      <c r="C6" s="61">
        <f>'[1]Table 4'!C7+'[1]Table 5'!D7</f>
        <v>12989</v>
      </c>
      <c r="D6" s="55">
        <v>36511424</v>
      </c>
      <c r="E6" s="54">
        <f>'[1]Table 4'!E7+'[1]Table 5'!F7</f>
        <v>50.559231709999999</v>
      </c>
      <c r="F6" s="53">
        <f>'[1]Table 4'!J7+'[1]Table 5'!K7</f>
        <v>999</v>
      </c>
      <c r="G6" s="55">
        <v>2110062</v>
      </c>
      <c r="H6" s="54">
        <f>'[1]Table 4'!L7+'[1]Table 5'!M7</f>
        <v>12.819834540999999</v>
      </c>
      <c r="I6" s="53">
        <f>'[1]Table 4'!Q7+'[1]Table 5'!R7</f>
        <v>378</v>
      </c>
      <c r="J6" s="55">
        <v>335607</v>
      </c>
      <c r="K6" s="54">
        <f>'[1]Table 4'!S7+'[1]Table 5'!T7</f>
        <v>21.9562527</v>
      </c>
      <c r="L6" s="53">
        <f>'[1]Table 4'!X7+'[1]Table 5'!Y7</f>
        <v>101</v>
      </c>
      <c r="M6" s="55">
        <v>399963</v>
      </c>
      <c r="N6" s="62">
        <f>'[1]Table 4'!Z7+'[1]Table 5'!AA7</f>
        <v>3.6112247630000001</v>
      </c>
      <c r="O6" s="55">
        <f t="shared" ref="O6:O29" si="0">G6+J6+M6</f>
        <v>2845632</v>
      </c>
      <c r="P6" s="63">
        <f t="shared" ref="P6:P30" si="1">(G6*H6+J6*K6+M6*N6)/O6</f>
        <v>12.603061148111987</v>
      </c>
      <c r="Q6" s="73">
        <f t="shared" ref="Q6:Q29" si="2">D6+G6+J6+M6</f>
        <v>39357056</v>
      </c>
      <c r="S6" s="205">
        <f t="shared" ref="S6:S30" si="3">C6/D6*100000</f>
        <v>35.575166829976283</v>
      </c>
      <c r="T6" s="205">
        <f t="shared" ref="T6:T27" si="4">F6/G6*100000</f>
        <v>47.344580396215846</v>
      </c>
      <c r="U6" s="205">
        <f t="shared" ref="U6:U30" si="5">I6/J6*100000</f>
        <v>112.63173890890238</v>
      </c>
      <c r="V6" s="205">
        <f t="shared" ref="V6:V30" si="6">L6/M6*100000</f>
        <v>25.2523358410653</v>
      </c>
      <c r="W6" s="206">
        <f t="shared" ref="W6:W30" si="7">S6/V6</f>
        <v>1.4087871733482973</v>
      </c>
    </row>
    <row r="7" spans="1:24" x14ac:dyDescent="0.35">
      <c r="A7" s="18">
        <v>44218</v>
      </c>
      <c r="B7" s="19">
        <v>3</v>
      </c>
      <c r="C7" s="61">
        <f>'[1]Table 4'!C8+'[1]Table 5'!D8</f>
        <v>12612</v>
      </c>
      <c r="D7" s="55">
        <v>34737408</v>
      </c>
      <c r="E7" s="54">
        <f>'[1]Table 4'!E8+'[1]Table 5'!F8</f>
        <v>81.318403000000004</v>
      </c>
      <c r="F7" s="53">
        <f>'[1]Table 4'!J8+'[1]Table 5'!K8</f>
        <v>1915</v>
      </c>
      <c r="G7" s="55">
        <v>3638226</v>
      </c>
      <c r="H7" s="54">
        <f>'[1]Table 4'!L8+'[1]Table 5'!M8</f>
        <v>13.685044137</v>
      </c>
      <c r="I7" s="53">
        <f>'[1]Table 4'!Q8+'[1]Table 5'!R8</f>
        <v>559</v>
      </c>
      <c r="J7" s="55">
        <v>570533</v>
      </c>
      <c r="K7" s="54">
        <f>'[1]Table 4'!S8+'[1]Table 5'!T8</f>
        <v>21.794917810000001</v>
      </c>
      <c r="L7" s="53">
        <f>'[1]Table 4'!X8+'[1]Table 5'!Y8</f>
        <v>166</v>
      </c>
      <c r="M7" s="55">
        <v>406528</v>
      </c>
      <c r="N7" s="62">
        <f>'[1]Table 4'!Z8+'[1]Table 5'!AA8</f>
        <v>5.5727030730000005</v>
      </c>
      <c r="O7" s="55">
        <f t="shared" si="0"/>
        <v>4615287</v>
      </c>
      <c r="P7" s="63">
        <f t="shared" si="1"/>
        <v>13.973012527310702</v>
      </c>
      <c r="Q7" s="73">
        <f t="shared" si="2"/>
        <v>39352695</v>
      </c>
      <c r="S7" s="205">
        <f t="shared" si="3"/>
        <v>36.306681258428952</v>
      </c>
      <c r="T7" s="205">
        <f t="shared" si="4"/>
        <v>52.635542706802717</v>
      </c>
      <c r="U7" s="205">
        <f t="shared" si="5"/>
        <v>97.978556893291</v>
      </c>
      <c r="V7" s="205">
        <f t="shared" si="6"/>
        <v>40.83359571788413</v>
      </c>
      <c r="W7" s="206">
        <f t="shared" si="7"/>
        <v>0.88913750112208467</v>
      </c>
    </row>
    <row r="8" spans="1:24" x14ac:dyDescent="0.35">
      <c r="A8" s="18">
        <v>44225</v>
      </c>
      <c r="B8" s="19">
        <v>4</v>
      </c>
      <c r="C8" s="61">
        <f>'[1]Table 4'!C9+'[1]Table 5'!D9</f>
        <v>10109</v>
      </c>
      <c r="D8" s="55">
        <v>32897999</v>
      </c>
      <c r="E8" s="54">
        <f>'[1]Table 4'!E9+'[1]Table 5'!F9</f>
        <v>103.88415309999999</v>
      </c>
      <c r="F8" s="53">
        <f>'[1]Table 4'!J9+'[1]Table 5'!K9</f>
        <v>2994</v>
      </c>
      <c r="G8" s="55">
        <v>4895631</v>
      </c>
      <c r="H8" s="54">
        <f>'[1]Table 4'!L9+'[1]Table 5'!M9</f>
        <v>16.235677983000002</v>
      </c>
      <c r="I8" s="53">
        <f>'[1]Table 4'!Q9+'[1]Table 5'!R9</f>
        <v>881</v>
      </c>
      <c r="J8" s="55">
        <v>1142784</v>
      </c>
      <c r="K8" s="54">
        <f>'[1]Table 4'!S9+'[1]Table 5'!T9</f>
        <v>19.101893021999999</v>
      </c>
      <c r="L8" s="53">
        <f>'[1]Table 4'!X9+'[1]Table 5'!Y9</f>
        <v>164</v>
      </c>
      <c r="M8" s="55">
        <v>411079</v>
      </c>
      <c r="N8" s="62">
        <f>'[1]Table 4'!Z9+'[1]Table 5'!AA9</f>
        <v>3.7741473710000002</v>
      </c>
      <c r="O8" s="55">
        <f t="shared" si="0"/>
        <v>6449494</v>
      </c>
      <c r="P8" s="63">
        <f t="shared" si="1"/>
        <v>15.94926654431632</v>
      </c>
      <c r="Q8" s="73">
        <f t="shared" si="2"/>
        <v>39347493</v>
      </c>
      <c r="S8" s="205">
        <f t="shared" si="3"/>
        <v>30.728312685522305</v>
      </c>
      <c r="T8" s="205">
        <f t="shared" si="4"/>
        <v>61.156570011097649</v>
      </c>
      <c r="U8" s="205">
        <f t="shared" si="5"/>
        <v>77.092433915770613</v>
      </c>
      <c r="V8" s="205">
        <f t="shared" si="6"/>
        <v>39.895008015490944</v>
      </c>
      <c r="W8" s="206">
        <f t="shared" si="7"/>
        <v>0.77022951527145256</v>
      </c>
    </row>
    <row r="9" spans="1:24" x14ac:dyDescent="0.35">
      <c r="A9" s="18">
        <v>44232</v>
      </c>
      <c r="B9" s="19">
        <v>5</v>
      </c>
      <c r="C9" s="61">
        <f>'[1]Table 4'!C10+'[1]Table 5'!D10</f>
        <v>7620</v>
      </c>
      <c r="D9" s="55">
        <v>31004385</v>
      </c>
      <c r="E9" s="54">
        <f>'[1]Table 4'!E10+'[1]Table 5'!F10</f>
        <v>108.42834684</v>
      </c>
      <c r="F9" s="53">
        <f>'[1]Table 4'!J10+'[1]Table 5'!K10</f>
        <v>2708</v>
      </c>
      <c r="G9" s="55">
        <v>5499801</v>
      </c>
      <c r="H9" s="54">
        <f>'[1]Table 4'!L10+'[1]Table 5'!M10</f>
        <v>18.267648503</v>
      </c>
      <c r="I9" s="53">
        <f>'[1]Table 4'!Q10+'[1]Table 5'!R10</f>
        <v>1899</v>
      </c>
      <c r="J9" s="55">
        <v>2418413</v>
      </c>
      <c r="K9" s="54">
        <f>'[1]Table 4'!S10+'[1]Table 5'!T10</f>
        <v>18.284829296000002</v>
      </c>
      <c r="L9" s="53">
        <f>'[1]Table 4'!X10+'[1]Table 5'!Y10</f>
        <v>201</v>
      </c>
      <c r="M9" s="55">
        <v>421167</v>
      </c>
      <c r="N9" s="62">
        <f>'[1]Table 4'!Z10+'[1]Table 5'!AA10</f>
        <v>6.5680164269999999</v>
      </c>
      <c r="O9" s="55">
        <f t="shared" si="0"/>
        <v>8339381</v>
      </c>
      <c r="P9" s="63">
        <f t="shared" si="1"/>
        <v>17.68175985138291</v>
      </c>
      <c r="Q9" s="73">
        <f t="shared" si="2"/>
        <v>39343766</v>
      </c>
      <c r="S9" s="205">
        <f t="shared" si="3"/>
        <v>24.577168681139778</v>
      </c>
      <c r="T9" s="205">
        <f t="shared" si="4"/>
        <v>49.238145161979503</v>
      </c>
      <c r="U9" s="205">
        <f t="shared" si="5"/>
        <v>78.522568312360207</v>
      </c>
      <c r="V9" s="205">
        <f t="shared" si="6"/>
        <v>47.724536822685536</v>
      </c>
      <c r="W9" s="206">
        <f t="shared" si="7"/>
        <v>0.5149797214890347</v>
      </c>
    </row>
    <row r="10" spans="1:24" x14ac:dyDescent="0.35">
      <c r="A10" s="18">
        <v>44239</v>
      </c>
      <c r="B10" s="19">
        <v>6</v>
      </c>
      <c r="C10" s="61">
        <f>'[1]Table 4'!C11+'[1]Table 5'!D11</f>
        <v>5820</v>
      </c>
      <c r="D10" s="55">
        <v>28941393</v>
      </c>
      <c r="E10" s="54">
        <f>'[1]Table 4'!E11+'[1]Table 5'!F11</f>
        <v>112.62682117</v>
      </c>
      <c r="F10" s="53">
        <f>'[1]Table 4'!J11+'[1]Table 5'!K11</f>
        <v>1947</v>
      </c>
      <c r="G10" s="55">
        <v>5794547</v>
      </c>
      <c r="H10" s="54">
        <f>'[1]Table 4'!L11+'[1]Table 5'!M11</f>
        <v>22.024912393000001</v>
      </c>
      <c r="I10" s="53">
        <f>'[1]Table 4'!Q11+'[1]Table 5'!R11</f>
        <v>2889</v>
      </c>
      <c r="J10" s="55">
        <v>4170308</v>
      </c>
      <c r="K10" s="54">
        <f>'[1]Table 4'!S11+'[1]Table 5'!T11</f>
        <v>16.382437564</v>
      </c>
      <c r="L10" s="53">
        <f>'[1]Table 4'!X11+'[1]Table 5'!Y11</f>
        <v>219</v>
      </c>
      <c r="M10" s="55">
        <v>435150</v>
      </c>
      <c r="N10" s="62">
        <f>'[1]Table 4'!Z11+'[1]Table 5'!AA11</f>
        <v>5.1757890790000003</v>
      </c>
      <c r="O10" s="55">
        <f t="shared" si="0"/>
        <v>10400005</v>
      </c>
      <c r="P10" s="63">
        <f t="shared" si="1"/>
        <v>19.057341326518355</v>
      </c>
      <c r="Q10" s="73">
        <f t="shared" si="2"/>
        <v>39341398</v>
      </c>
      <c r="S10" s="205">
        <f t="shared" si="3"/>
        <v>20.109605643377289</v>
      </c>
      <c r="T10" s="205">
        <f t="shared" si="4"/>
        <v>33.600555832923611</v>
      </c>
      <c r="U10" s="205">
        <f t="shared" si="5"/>
        <v>69.275458791053325</v>
      </c>
      <c r="V10" s="205">
        <f t="shared" si="6"/>
        <v>50.327473285074106</v>
      </c>
      <c r="W10" s="206">
        <f t="shared" si="7"/>
        <v>0.39957510939340768</v>
      </c>
    </row>
    <row r="11" spans="1:24" x14ac:dyDescent="0.35">
      <c r="A11" s="18">
        <v>44246</v>
      </c>
      <c r="B11" s="19">
        <v>7</v>
      </c>
      <c r="C11" s="61">
        <f>'[1]Table 4'!C12+'[1]Table 5'!D12</f>
        <v>4623</v>
      </c>
      <c r="D11" s="55">
        <v>27025851</v>
      </c>
      <c r="E11" s="54">
        <f>'[1]Table 4'!E12+'[1]Table 5'!F12</f>
        <v>104.12897516999999</v>
      </c>
      <c r="F11" s="53">
        <f>'[1]Table 4'!J12+'[1]Table 5'!K12</f>
        <v>1541</v>
      </c>
      <c r="G11" s="55">
        <v>5877448</v>
      </c>
      <c r="H11" s="54">
        <f>'[1]Table 4'!L12+'[1]Table 5'!M12</f>
        <v>29.116374772</v>
      </c>
      <c r="I11" s="53">
        <f>'[1]Table 4'!Q12+'[1]Table 5'!R12</f>
        <v>3964</v>
      </c>
      <c r="J11" s="55">
        <v>5984438</v>
      </c>
      <c r="K11" s="54">
        <f>'[1]Table 4'!S12+'[1]Table 5'!T12</f>
        <v>17.287191417999999</v>
      </c>
      <c r="L11" s="53">
        <f>'[1]Table 4'!X12+'[1]Table 5'!Y12</f>
        <v>231</v>
      </c>
      <c r="M11" s="55">
        <v>452826</v>
      </c>
      <c r="N11" s="62">
        <f>'[1]Table 4'!Z12+'[1]Table 5'!AA12</f>
        <v>8.0357333889999989</v>
      </c>
      <c r="O11" s="55">
        <f t="shared" si="0"/>
        <v>12314712</v>
      </c>
      <c r="P11" s="63">
        <f t="shared" si="1"/>
        <v>22.592724288940111</v>
      </c>
      <c r="Q11" s="73">
        <f t="shared" si="2"/>
        <v>39340563</v>
      </c>
      <c r="S11" s="205">
        <f t="shared" si="3"/>
        <v>17.105844326604185</v>
      </c>
      <c r="T11" s="205">
        <f t="shared" si="4"/>
        <v>26.218862336170396</v>
      </c>
      <c r="U11" s="205">
        <f t="shared" si="5"/>
        <v>66.238467171019238</v>
      </c>
      <c r="V11" s="205">
        <f t="shared" si="6"/>
        <v>51.012971869989798</v>
      </c>
      <c r="W11" s="206">
        <f t="shared" si="7"/>
        <v>0.33532342264237519</v>
      </c>
    </row>
    <row r="12" spans="1:24" x14ac:dyDescent="0.35">
      <c r="A12" s="18">
        <v>44253</v>
      </c>
      <c r="B12" s="19">
        <v>8</v>
      </c>
      <c r="C12" s="61">
        <f>'[1]Table 4'!C13+'[1]Table 5'!D13</f>
        <v>3195</v>
      </c>
      <c r="D12" s="55">
        <v>25261345</v>
      </c>
      <c r="E12" s="54">
        <f>'[1]Table 4'!E13+'[1]Table 5'!F13</f>
        <v>79.377318580000008</v>
      </c>
      <c r="F12" s="53">
        <f>'[1]Table 4'!J13+'[1]Table 5'!K13</f>
        <v>1262</v>
      </c>
      <c r="G12" s="55">
        <v>5753015</v>
      </c>
      <c r="H12" s="54">
        <f>'[1]Table 4'!L13+'[1]Table 5'!M13</f>
        <v>39.219470129999998</v>
      </c>
      <c r="I12" s="53">
        <f>'[1]Table 4'!Q13+'[1]Table 5'!R13</f>
        <v>4455</v>
      </c>
      <c r="J12" s="55">
        <v>7815751</v>
      </c>
      <c r="K12" s="54">
        <f>'[1]Table 4'!S13+'[1]Table 5'!T13</f>
        <v>17.078867593999998</v>
      </c>
      <c r="L12" s="53">
        <f>'[1]Table 4'!X13+'[1]Table 5'!Y13</f>
        <v>241</v>
      </c>
      <c r="M12" s="55">
        <v>510095</v>
      </c>
      <c r="N12" s="62">
        <f>'[1]Table 5'!AA13</f>
        <v>5.8840064600000002</v>
      </c>
      <c r="O12" s="55">
        <f t="shared" si="0"/>
        <v>14078861</v>
      </c>
      <c r="P12" s="63">
        <f t="shared" si="1"/>
        <v>25.720530851311672</v>
      </c>
      <c r="Q12" s="73">
        <f t="shared" si="2"/>
        <v>39340206</v>
      </c>
      <c r="S12" s="205">
        <f t="shared" si="3"/>
        <v>12.647782610150013</v>
      </c>
      <c r="T12" s="205">
        <f t="shared" si="4"/>
        <v>21.936323823247463</v>
      </c>
      <c r="U12" s="205">
        <f t="shared" si="5"/>
        <v>57.000280587239793</v>
      </c>
      <c r="V12" s="205">
        <f t="shared" si="6"/>
        <v>47.246101216440074</v>
      </c>
      <c r="W12" s="206">
        <f t="shared" si="7"/>
        <v>0.26770002782259217</v>
      </c>
    </row>
    <row r="13" spans="1:24" x14ac:dyDescent="0.35">
      <c r="A13" s="18">
        <v>44260</v>
      </c>
      <c r="B13" s="19">
        <v>9</v>
      </c>
      <c r="C13" s="61">
        <f>'[1]Table 4'!C14+'[1]Table 5'!D14</f>
        <v>2493</v>
      </c>
      <c r="D13" s="55">
        <v>23795540</v>
      </c>
      <c r="E13" s="54">
        <f>'[1]Table 4'!E14+'[1]Table 5'!F14</f>
        <v>65.885689970000001</v>
      </c>
      <c r="F13" s="53">
        <f>'[1]Table 4'!J14+'[1]Table 5'!K14</f>
        <v>761</v>
      </c>
      <c r="G13" s="55">
        <v>5159690</v>
      </c>
      <c r="H13" s="54">
        <f>'[1]Table 4'!L14+'[1]Table 5'!M14</f>
        <v>50.809659130999997</v>
      </c>
      <c r="I13" s="53">
        <f>'[1]Table 4'!Q14+'[1]Table 5'!R14</f>
        <v>4545</v>
      </c>
      <c r="J13" s="55">
        <v>9709045</v>
      </c>
      <c r="K13" s="54">
        <f>'[1]Table 4'!S14+'[1]Table 5'!T14</f>
        <v>16.600269193999999</v>
      </c>
      <c r="L13" s="53">
        <f>'[1]Table 4'!X14+'[1]Table 5'!Y14</f>
        <v>265</v>
      </c>
      <c r="M13" s="55">
        <v>676798</v>
      </c>
      <c r="N13" s="62">
        <f>'[1]Table 5'!AA14</f>
        <v>7.796158395</v>
      </c>
      <c r="O13" s="55">
        <f t="shared" si="0"/>
        <v>15545533</v>
      </c>
      <c r="P13" s="63">
        <f t="shared" si="1"/>
        <v>27.571346389198002</v>
      </c>
      <c r="Q13" s="73">
        <f t="shared" si="2"/>
        <v>39341073</v>
      </c>
      <c r="S13" s="205">
        <f t="shared" si="3"/>
        <v>10.476753206693356</v>
      </c>
      <c r="T13" s="205">
        <f t="shared" si="4"/>
        <v>14.74894809571893</v>
      </c>
      <c r="U13" s="205">
        <f t="shared" si="5"/>
        <v>46.812019101775718</v>
      </c>
      <c r="V13" s="205">
        <f t="shared" si="6"/>
        <v>39.154962041850006</v>
      </c>
      <c r="W13" s="206">
        <f t="shared" si="7"/>
        <v>0.26757153270881701</v>
      </c>
    </row>
    <row r="14" spans="1:24" x14ac:dyDescent="0.35">
      <c r="A14" s="18">
        <v>44267</v>
      </c>
      <c r="B14" s="19">
        <v>10</v>
      </c>
      <c r="C14" s="61">
        <f>'[1]Table 4'!C15+'[1]Table 5'!D15</f>
        <v>2009</v>
      </c>
      <c r="D14" s="55">
        <v>22496119</v>
      </c>
      <c r="E14" s="54">
        <f>'[1]Table 4'!E15+'[1]Table 5'!F15</f>
        <v>56.039162260000005</v>
      </c>
      <c r="F14" s="53">
        <f>'[1]Table 4'!J15+'[1]Table 5'!K15</f>
        <v>477</v>
      </c>
      <c r="G14" s="55">
        <v>4544647</v>
      </c>
      <c r="H14" s="54">
        <f>'[1]Table 4'!L15+'[1]Table 5'!M15</f>
        <v>49.843234273</v>
      </c>
      <c r="I14" s="53">
        <f>'[1]Table 4'!Q15+'[1]Table 5'!R15</f>
        <v>5170</v>
      </c>
      <c r="J14" s="55">
        <v>11357055</v>
      </c>
      <c r="K14" s="54">
        <f>'[1]Table 4'!S15+'[1]Table 5'!T15</f>
        <v>18.209922646999999</v>
      </c>
      <c r="L14" s="53">
        <f>'[1]Table 4'!X15+'[1]Table 5'!Y15</f>
        <v>363</v>
      </c>
      <c r="M14" s="55">
        <v>944609</v>
      </c>
      <c r="N14" s="62">
        <f>'[1]Table 4'!Z15+'[1]Table 5'!AA15</f>
        <v>8.1165660889999991</v>
      </c>
      <c r="O14" s="55">
        <f t="shared" si="0"/>
        <v>16846311</v>
      </c>
      <c r="P14" s="63">
        <f t="shared" si="1"/>
        <v>26.177718049582214</v>
      </c>
      <c r="Q14" s="73">
        <f t="shared" si="2"/>
        <v>39342430</v>
      </c>
      <c r="S14" s="205">
        <f t="shared" si="3"/>
        <v>8.9304292887141994</v>
      </c>
      <c r="T14" s="205">
        <f t="shared" si="4"/>
        <v>10.495864695321771</v>
      </c>
      <c r="U14" s="205">
        <f t="shared" si="5"/>
        <v>45.522364732758625</v>
      </c>
      <c r="V14" s="205">
        <f t="shared" si="6"/>
        <v>38.42859849948497</v>
      </c>
      <c r="W14" s="206">
        <f t="shared" si="7"/>
        <v>0.23239018953121299</v>
      </c>
    </row>
    <row r="15" spans="1:24" x14ac:dyDescent="0.35">
      <c r="A15" s="18">
        <v>44274</v>
      </c>
      <c r="B15" s="19">
        <v>11</v>
      </c>
      <c r="C15" s="61">
        <f>'[1]Table 4'!C16+'[1]Table 5'!D16</f>
        <v>1609</v>
      </c>
      <c r="D15" s="55">
        <v>20222106</v>
      </c>
      <c r="E15" s="54">
        <f>'[1]Table 4'!E16+'[1]Table 5'!F16</f>
        <v>49.557685892999999</v>
      </c>
      <c r="F15" s="53">
        <f>'[1]Table 4'!J16+'[1]Table 5'!K16</f>
        <v>336</v>
      </c>
      <c r="G15" s="55">
        <v>5050636</v>
      </c>
      <c r="H15" s="54">
        <f>'[1]Table 4'!L16+'[1]Table 5'!M16</f>
        <v>56.039466321000006</v>
      </c>
      <c r="I15" s="53">
        <f>'[1]Table 4'!Q16+'[1]Table 5'!R16</f>
        <v>5154</v>
      </c>
      <c r="J15" s="55">
        <v>12736263</v>
      </c>
      <c r="K15" s="54">
        <f>'[1]Table 4'!S16+'[1]Table 5'!T16</f>
        <v>18.097602419000001</v>
      </c>
      <c r="L15" s="53">
        <f>'[1]Table 4'!X16+'[1]Table 5'!Y16</f>
        <v>479</v>
      </c>
      <c r="M15" s="55">
        <v>1333720</v>
      </c>
      <c r="N15" s="62">
        <f>'[1]Table 5'!AA16</f>
        <v>7.039687121</v>
      </c>
      <c r="O15" s="55">
        <f t="shared" si="0"/>
        <v>19120619</v>
      </c>
      <c r="P15" s="63">
        <f t="shared" si="1"/>
        <v>27.34847347810604</v>
      </c>
      <c r="Q15" s="73">
        <f t="shared" si="2"/>
        <v>39342725</v>
      </c>
      <c r="S15" s="205">
        <f t="shared" si="3"/>
        <v>7.956639135409536</v>
      </c>
      <c r="T15" s="205">
        <f t="shared" si="4"/>
        <v>6.652627510673903</v>
      </c>
      <c r="U15" s="205">
        <f t="shared" si="5"/>
        <v>40.467129172819376</v>
      </c>
      <c r="V15" s="205">
        <f t="shared" si="6"/>
        <v>35.914584770416575</v>
      </c>
      <c r="W15" s="206">
        <f t="shared" si="7"/>
        <v>0.22154339765508158</v>
      </c>
    </row>
    <row r="16" spans="1:24" x14ac:dyDescent="0.35">
      <c r="A16" s="18">
        <v>44281</v>
      </c>
      <c r="B16" s="19">
        <v>12</v>
      </c>
      <c r="C16" s="61">
        <f>'[1]Table 4'!C17+'[1]Table 5'!D17</f>
        <v>1349</v>
      </c>
      <c r="D16" s="55">
        <v>18316034</v>
      </c>
      <c r="E16" s="54">
        <f>'[1]Table 4'!E17+'[1]Table 5'!F17</f>
        <v>46.038930517000004</v>
      </c>
      <c r="F16" s="53">
        <f>'[1]Table 4'!J17+'[1]Table 5'!K17</f>
        <v>250</v>
      </c>
      <c r="G16" s="55">
        <v>5482719</v>
      </c>
      <c r="H16" s="54">
        <f>'[1]Table 4'!L17+'[1]Table 5'!M17</f>
        <v>40.511267074000003</v>
      </c>
      <c r="I16" s="53">
        <f>'[1]Table 4'!Q17+'[1]Table 5'!R17</f>
        <v>5037</v>
      </c>
      <c r="J16" s="55">
        <v>13360491</v>
      </c>
      <c r="K16" s="54">
        <f>'[1]Table 4'!S17+'[1]Table 5'!T17</f>
        <v>19.666868996999998</v>
      </c>
      <c r="L16" s="53">
        <f>'[1]Table 4'!X17+'[1]Table 5'!Y17</f>
        <v>728</v>
      </c>
      <c r="M16" s="55">
        <v>2183425</v>
      </c>
      <c r="N16" s="62">
        <f>'[1]Table 4'!Z17+'[1]Table 5'!AA17</f>
        <v>7.5331971959999997</v>
      </c>
      <c r="O16" s="55">
        <f t="shared" si="0"/>
        <v>21026635</v>
      </c>
      <c r="P16" s="63">
        <f t="shared" si="1"/>
        <v>23.842097940111103</v>
      </c>
      <c r="Q16" s="73">
        <f t="shared" si="2"/>
        <v>39342669</v>
      </c>
      <c r="S16" s="205">
        <f t="shared" si="3"/>
        <v>7.365131556318361</v>
      </c>
      <c r="T16" s="205">
        <f t="shared" si="4"/>
        <v>4.5597813785459369</v>
      </c>
      <c r="U16" s="205">
        <f t="shared" si="5"/>
        <v>37.700710250843329</v>
      </c>
      <c r="V16" s="205">
        <f t="shared" si="6"/>
        <v>33.342111590734739</v>
      </c>
      <c r="W16" s="206">
        <f t="shared" si="7"/>
        <v>0.22089577429058266</v>
      </c>
    </row>
    <row r="17" spans="1:23" x14ac:dyDescent="0.35">
      <c r="A17" s="18">
        <v>44288</v>
      </c>
      <c r="B17" s="19">
        <v>13</v>
      </c>
      <c r="C17" s="61">
        <f>'[1]Table 4'!C18+'[1]Table 5'!D18</f>
        <v>1115</v>
      </c>
      <c r="D17" s="55">
        <v>17224336</v>
      </c>
      <c r="E17" s="54">
        <f>'[1]Table 4'!E18+'[1]Table 5'!F18</f>
        <v>42.007698573000006</v>
      </c>
      <c r="F17" s="53">
        <f>'[1]Table 4'!J18+'[1]Table 5'!K18</f>
        <v>198</v>
      </c>
      <c r="G17" s="55">
        <v>5251694</v>
      </c>
      <c r="H17" s="54">
        <f>'[1]Table 5'!M18</f>
        <v>39.931248910000001</v>
      </c>
      <c r="I17" s="53">
        <f>'[1]Table 4'!Q18+'[1]Table 5'!R18</f>
        <v>4691</v>
      </c>
      <c r="J17" s="55">
        <v>13067664</v>
      </c>
      <c r="K17" s="54">
        <f>'[1]Table 4'!S18+'[1]Table 5'!T18</f>
        <v>25.198602914999999</v>
      </c>
      <c r="L17" s="53">
        <f>'[1]Table 4'!X18+'[1]Table 5'!Y18</f>
        <v>1185</v>
      </c>
      <c r="M17" s="55">
        <v>3792492</v>
      </c>
      <c r="N17" s="62">
        <f>'[1]Table 4'!Z18+'[1]Table 5'!AA18</f>
        <v>7.4949593370000001</v>
      </c>
      <c r="O17" s="55">
        <f t="shared" si="0"/>
        <v>22111850</v>
      </c>
      <c r="P17" s="63">
        <f t="shared" si="1"/>
        <v>25.661269853119116</v>
      </c>
      <c r="Q17" s="73">
        <f t="shared" si="2"/>
        <v>39336186</v>
      </c>
      <c r="S17" s="205">
        <f t="shared" si="3"/>
        <v>6.4733990326245374</v>
      </c>
      <c r="T17" s="205">
        <f t="shared" si="4"/>
        <v>3.7702120496738765</v>
      </c>
      <c r="U17" s="205">
        <f t="shared" si="5"/>
        <v>35.897770251821598</v>
      </c>
      <c r="V17" s="205">
        <f t="shared" si="6"/>
        <v>31.2459459373942</v>
      </c>
      <c r="W17" s="206">
        <f t="shared" si="7"/>
        <v>0.20717564594123455</v>
      </c>
    </row>
    <row r="18" spans="1:23" x14ac:dyDescent="0.35">
      <c r="A18" s="18">
        <v>44295</v>
      </c>
      <c r="B18" s="19">
        <v>14</v>
      </c>
      <c r="C18" s="61">
        <f>'[1]Table 4'!C19+'[1]Table 5'!D19</f>
        <v>1003</v>
      </c>
      <c r="D18" s="55">
        <v>16960669</v>
      </c>
      <c r="E18" s="54">
        <f>'[1]Table 4'!E19+'[1]Table 5'!F19</f>
        <v>39.677670254999995</v>
      </c>
      <c r="F18" s="53">
        <f>'[1]Table 4'!J19+'[1]Table 5'!K19</f>
        <v>133</v>
      </c>
      <c r="G18" s="55">
        <v>3211115</v>
      </c>
      <c r="H18" s="54">
        <f>'[1]Table 5'!M19</f>
        <v>35.948213019999997</v>
      </c>
      <c r="I18" s="53">
        <f>'[1]Table 4'!Q19+'[1]Table 5'!R19</f>
        <v>4274</v>
      </c>
      <c r="J18" s="55">
        <v>13722962</v>
      </c>
      <c r="K18" s="54">
        <f>'[1]Table 4'!S19+'[1]Table 5'!T19</f>
        <v>33.430478266999998</v>
      </c>
      <c r="L18" s="53">
        <f>'[1]Table 4'!X19+'[1]Table 5'!Y19</f>
        <v>1712</v>
      </c>
      <c r="M18" s="55">
        <v>5434251</v>
      </c>
      <c r="N18" s="62">
        <f>'[1]Table 4'!Z19+'[1]Table 5'!AA19</f>
        <v>7.5231101199999992</v>
      </c>
      <c r="O18" s="55">
        <f t="shared" si="0"/>
        <v>22368328</v>
      </c>
      <c r="P18" s="63">
        <f t="shared" si="1"/>
        <v>27.497875462319055</v>
      </c>
      <c r="Q18" s="73">
        <f t="shared" si="2"/>
        <v>39328997</v>
      </c>
      <c r="S18" s="205">
        <f t="shared" si="3"/>
        <v>5.9136818246968907</v>
      </c>
      <c r="T18" s="205">
        <f t="shared" si="4"/>
        <v>4.1418634960130669</v>
      </c>
      <c r="U18" s="205">
        <f t="shared" si="5"/>
        <v>31.144879654989936</v>
      </c>
      <c r="V18" s="205">
        <f t="shared" si="6"/>
        <v>31.50388158368099</v>
      </c>
      <c r="W18" s="206">
        <f t="shared" si="7"/>
        <v>0.18771280005572957</v>
      </c>
    </row>
    <row r="19" spans="1:23" x14ac:dyDescent="0.35">
      <c r="A19" s="18">
        <v>44302</v>
      </c>
      <c r="B19" s="19">
        <v>15</v>
      </c>
      <c r="C19" s="61">
        <f>'[1]Table 4'!C20+'[1]Table 5'!D20</f>
        <v>928</v>
      </c>
      <c r="D19" s="55">
        <v>16544821</v>
      </c>
      <c r="E19" s="54">
        <f>'[1]Table 4'!E20+'[1]Table 5'!F20</f>
        <v>38.663880118999998</v>
      </c>
      <c r="F19" s="53">
        <f>'[1]Table 4'!J20+'[1]Table 5'!K20</f>
        <v>96</v>
      </c>
      <c r="G19" s="55">
        <v>1664254</v>
      </c>
      <c r="H19" s="54">
        <f>'[1]Table 5'!M20</f>
        <v>45.370718279999998</v>
      </c>
      <c r="I19" s="53">
        <f>'[1]Table 4'!Q20+'[1]Table 5'!R20</f>
        <v>3819</v>
      </c>
      <c r="J19" s="55">
        <v>13828421</v>
      </c>
      <c r="K19" s="54">
        <f>'[1]Table 4'!S20+'[1]Table 5'!T20</f>
        <v>47.424784741000003</v>
      </c>
      <c r="L19" s="53">
        <f>'[1]Table 4'!X20+'[1]Table 5'!Y20</f>
        <v>2299</v>
      </c>
      <c r="M19" s="55">
        <v>7284379</v>
      </c>
      <c r="N19" s="62">
        <f>'[1]Table 4'!Z20+'[1]Table 5'!AA20</f>
        <v>8.406395367</v>
      </c>
      <c r="O19" s="55">
        <f t="shared" si="0"/>
        <v>22777054</v>
      </c>
      <c r="P19" s="63">
        <f t="shared" si="1"/>
        <v>34.796144334133778</v>
      </c>
      <c r="Q19" s="73">
        <f t="shared" si="2"/>
        <v>39321875</v>
      </c>
      <c r="S19" s="205">
        <f t="shared" si="3"/>
        <v>5.6090059844104685</v>
      </c>
      <c r="T19" s="205">
        <f t="shared" si="4"/>
        <v>5.7683502638419375</v>
      </c>
      <c r="U19" s="205">
        <f t="shared" si="5"/>
        <v>27.617035958046113</v>
      </c>
      <c r="V19" s="205">
        <f t="shared" si="6"/>
        <v>31.560686230082208</v>
      </c>
      <c r="W19" s="206">
        <f t="shared" si="7"/>
        <v>0.17772129362207023</v>
      </c>
    </row>
    <row r="20" spans="1:23" x14ac:dyDescent="0.35">
      <c r="A20" s="18">
        <v>44309</v>
      </c>
      <c r="B20" s="19">
        <v>16</v>
      </c>
      <c r="C20" s="61">
        <f>'[1]Table 4'!C21+'[1]Table 5'!D21</f>
        <v>841</v>
      </c>
      <c r="D20" s="55">
        <v>15927073</v>
      </c>
      <c r="E20" s="54">
        <f>'[1]Table 4'!E21+'[1]Table 5'!F21</f>
        <v>40.653214460999997</v>
      </c>
      <c r="F20" s="53">
        <f>'[1]Table 4'!J21+'[1]Table 5'!K21</f>
        <v>47</v>
      </c>
      <c r="G20" s="55">
        <v>1078637</v>
      </c>
      <c r="H20" s="54">
        <f>'[1]Table 5'!M21</f>
        <v>46.695777960000001</v>
      </c>
      <c r="I20" s="53">
        <f>'[1]Table 4'!Q21+'[1]Table 5'!R21</f>
        <v>3364</v>
      </c>
      <c r="J20" s="55">
        <v>13095580</v>
      </c>
      <c r="K20" s="54">
        <f>'[1]Table 4'!S21+'[1]Table 5'!T21</f>
        <v>63.55004623</v>
      </c>
      <c r="L20" s="53">
        <f>'[1]Table 4'!X21+'[1]Table 5'!Y21</f>
        <v>2960</v>
      </c>
      <c r="M20" s="55">
        <v>9213443</v>
      </c>
      <c r="N20" s="62">
        <f>'[1]Table 4'!Z21+'[1]Table 5'!AA21</f>
        <v>9.4272619639999995</v>
      </c>
      <c r="O20" s="55">
        <f t="shared" si="0"/>
        <v>23387660</v>
      </c>
      <c r="P20" s="63">
        <f t="shared" si="1"/>
        <v>41.45134866042546</v>
      </c>
      <c r="Q20" s="73">
        <f t="shared" si="2"/>
        <v>39314733</v>
      </c>
      <c r="S20" s="205">
        <f t="shared" si="3"/>
        <v>5.2803173564910511</v>
      </c>
      <c r="T20" s="205">
        <f t="shared" si="4"/>
        <v>4.3573509901848348</v>
      </c>
      <c r="U20" s="205">
        <f t="shared" si="5"/>
        <v>25.688056580922723</v>
      </c>
      <c r="V20" s="205">
        <f t="shared" si="6"/>
        <v>32.12696925568433</v>
      </c>
      <c r="W20" s="206">
        <f t="shared" si="7"/>
        <v>0.16435778035790871</v>
      </c>
    </row>
    <row r="21" spans="1:23" x14ac:dyDescent="0.35">
      <c r="A21" s="18">
        <v>44316</v>
      </c>
      <c r="B21" s="19">
        <v>17</v>
      </c>
      <c r="C21" s="61">
        <f>'[1]Table 4'!C22+'[1]Table 5'!D22</f>
        <v>742</v>
      </c>
      <c r="D21" s="55">
        <v>15509284</v>
      </c>
      <c r="E21" s="54">
        <f>'[1]Table 4'!E22+'[1]Table 5'!F22</f>
        <v>38.562253016</v>
      </c>
      <c r="F21" s="53">
        <f>'[1]Table 4'!J22+'[1]Table 5'!K22</f>
        <v>30</v>
      </c>
      <c r="G21" s="55">
        <v>1231898</v>
      </c>
      <c r="H21" s="54">
        <f>'[1]Table 5'!M22</f>
        <v>35.442833919999998</v>
      </c>
      <c r="I21" s="53">
        <f>'[1]Table 4'!Q22+'[1]Table 5'!R22</f>
        <v>2777</v>
      </c>
      <c r="J21" s="55">
        <v>11699011</v>
      </c>
      <c r="K21" s="54">
        <f>'[1]Table 4'!S22+'[1]Table 5'!T22</f>
        <v>79.142194287000009</v>
      </c>
      <c r="L21" s="53">
        <f>'[1]Table 4'!X22+'[1]Table 5'!Y22</f>
        <v>3418</v>
      </c>
      <c r="M21" s="55">
        <v>10867328</v>
      </c>
      <c r="N21" s="62">
        <f>'[1]Table 4'!Z22+'[1]Table 5'!AA22</f>
        <v>10.387010043</v>
      </c>
      <c r="O21" s="55">
        <f t="shared" si="0"/>
        <v>23798237</v>
      </c>
      <c r="P21" s="63">
        <f t="shared" si="1"/>
        <v>45.483470175740564</v>
      </c>
      <c r="Q21" s="73">
        <f t="shared" si="2"/>
        <v>39307521</v>
      </c>
      <c r="S21" s="205">
        <f t="shared" si="3"/>
        <v>4.7842311740503298</v>
      </c>
      <c r="T21" s="205">
        <f t="shared" si="4"/>
        <v>2.4352665561596818</v>
      </c>
      <c r="U21" s="205">
        <f t="shared" si="5"/>
        <v>23.737049225784983</v>
      </c>
      <c r="V21" s="205">
        <f t="shared" si="6"/>
        <v>31.452073591594914</v>
      </c>
      <c r="W21" s="206">
        <f t="shared" si="7"/>
        <v>0.1521117887543301</v>
      </c>
    </row>
    <row r="22" spans="1:23" x14ac:dyDescent="0.35">
      <c r="A22" s="18">
        <v>44323</v>
      </c>
      <c r="B22" s="19">
        <v>18</v>
      </c>
      <c r="C22" s="61">
        <f>'[1]Table 4'!C23+'[1]Table 5'!D23</f>
        <v>623</v>
      </c>
      <c r="D22" s="55">
        <v>15030867</v>
      </c>
      <c r="E22" s="54">
        <f>'[1]Table 4'!E23+'[1]Table 5'!F23</f>
        <v>33.028738551000004</v>
      </c>
      <c r="F22" s="53">
        <f>'[1]Table 4'!J23+'[1]Table 5'!K23</f>
        <v>33</v>
      </c>
      <c r="G22" s="55">
        <v>1347207</v>
      </c>
      <c r="H22" s="54">
        <f>'[1]Table 5'!M23</f>
        <v>36.991169929999998</v>
      </c>
      <c r="I22" s="53">
        <f>'[1]Table 4'!Q23+'[1]Table 5'!R23</f>
        <v>2302</v>
      </c>
      <c r="J22" s="55">
        <v>10393566</v>
      </c>
      <c r="K22" s="54">
        <f>'[1]Table 4'!S23+'[1]Table 5'!T23</f>
        <v>93.952856425000007</v>
      </c>
      <c r="L22" s="53">
        <f>'[1]Table 4'!X23+'[1]Table 5'!Y23</f>
        <v>4165</v>
      </c>
      <c r="M22" s="55">
        <v>12528914</v>
      </c>
      <c r="N22" s="62">
        <f>'[1]Table 4'!Z23+'[1]Table 5'!AA23</f>
        <v>11.825595716</v>
      </c>
      <c r="O22" s="55">
        <f t="shared" si="0"/>
        <v>24269687</v>
      </c>
      <c r="P22" s="63">
        <f t="shared" si="1"/>
        <v>48.393778170034892</v>
      </c>
      <c r="Q22" s="73">
        <f t="shared" si="2"/>
        <v>39300554</v>
      </c>
      <c r="S22" s="205">
        <f t="shared" si="3"/>
        <v>4.1448041553424693</v>
      </c>
      <c r="T22" s="205">
        <f t="shared" si="4"/>
        <v>2.4495122130452112</v>
      </c>
      <c r="U22" s="205">
        <f t="shared" si="5"/>
        <v>22.148317526438952</v>
      </c>
      <c r="V22" s="205">
        <f t="shared" si="6"/>
        <v>33.243104709634054</v>
      </c>
      <c r="W22" s="206">
        <f t="shared" si="7"/>
        <v>0.12468162018998423</v>
      </c>
    </row>
    <row r="23" spans="1:23" x14ac:dyDescent="0.35">
      <c r="A23" s="18">
        <v>44330</v>
      </c>
      <c r="B23" s="19">
        <v>19</v>
      </c>
      <c r="C23" s="61">
        <f>'[1]Table 4'!C24+'[1]Table 5'!D24</f>
        <v>597</v>
      </c>
      <c r="D23" s="55">
        <v>14401995</v>
      </c>
      <c r="E23" s="54">
        <f>'[1]Table 4'!E24+'[1]Table 5'!F24</f>
        <v>31.820284908999998</v>
      </c>
      <c r="F23" s="53">
        <f>'[1]Table 4'!J24+'[1]Table 5'!K24</f>
        <v>30</v>
      </c>
      <c r="G23" s="55">
        <v>1482892</v>
      </c>
      <c r="H23" s="54">
        <f>'[1]Table 5'!M24</f>
        <v>48.0571445</v>
      </c>
      <c r="I23" s="53">
        <f>'[1]Table 4'!Q24+'[1]Table 5'!R24</f>
        <v>1857</v>
      </c>
      <c r="J23" s="55">
        <v>9060935</v>
      </c>
      <c r="K23" s="54">
        <f>'[1]Table 4'!S24+'[1]Table 5'!T24</f>
        <v>98.782000288999996</v>
      </c>
      <c r="L23" s="53">
        <f>'[1]Table 4'!X24+'[1]Table 5'!Y24</f>
        <v>4644</v>
      </c>
      <c r="M23" s="55">
        <v>14347609</v>
      </c>
      <c r="N23" s="62">
        <f>'[1]Table 4'!Z24+'[1]Table 5'!AA24</f>
        <v>12.749560414999999</v>
      </c>
      <c r="O23" s="55">
        <f t="shared" si="0"/>
        <v>24891436</v>
      </c>
      <c r="P23" s="63">
        <f t="shared" si="1"/>
        <v>46.170359422686658</v>
      </c>
      <c r="Q23" s="73">
        <f t="shared" si="2"/>
        <v>39293431</v>
      </c>
      <c r="S23" s="205">
        <f t="shared" si="3"/>
        <v>4.1452590422368569</v>
      </c>
      <c r="T23" s="205">
        <f t="shared" si="4"/>
        <v>2.0230738314051191</v>
      </c>
      <c r="U23" s="205">
        <f t="shared" si="5"/>
        <v>20.494573683620949</v>
      </c>
      <c r="V23" s="205">
        <f t="shared" si="6"/>
        <v>32.367762461327175</v>
      </c>
      <c r="W23" s="206">
        <f t="shared" si="7"/>
        <v>0.12806751925436891</v>
      </c>
    </row>
    <row r="24" spans="1:23" x14ac:dyDescent="0.35">
      <c r="A24" s="18">
        <v>44337</v>
      </c>
      <c r="B24" s="19">
        <v>20</v>
      </c>
      <c r="C24" s="61">
        <f>'[1]Table 4'!C25+'[1]Table 5'!D25</f>
        <v>617</v>
      </c>
      <c r="D24" s="55">
        <v>13574870</v>
      </c>
      <c r="E24" s="54">
        <f>'[1]Table 4'!E25+'[1]Table 5'!F25</f>
        <v>33.508526979999999</v>
      </c>
      <c r="F24" s="53">
        <f>'[1]Table 4'!J25+'[1]Table 5'!K25</f>
        <v>13</v>
      </c>
      <c r="G24" s="55">
        <v>1917779</v>
      </c>
      <c r="H24" s="54">
        <f>'[1]Table 5'!M25</f>
        <v>18.678727139999999</v>
      </c>
      <c r="I24" s="53">
        <f>'[1]Table 4'!Q25+'[1]Table 5'!R25</f>
        <v>1460</v>
      </c>
      <c r="J24" s="55">
        <v>7767800</v>
      </c>
      <c r="K24" s="54">
        <f>'[1]Table 4'!S25+'[1]Table 5'!T25</f>
        <v>98.849633717000003</v>
      </c>
      <c r="L24" s="53">
        <f>'[1]Table 4'!X25+'[1]Table 5'!Y25</f>
        <v>4963</v>
      </c>
      <c r="M24" s="55">
        <v>16025854</v>
      </c>
      <c r="N24" s="62">
        <f>'[1]Table 4'!Z25+'[1]Table 5'!AA25</f>
        <v>13.385249552000001</v>
      </c>
      <c r="O24" s="55">
        <f t="shared" si="0"/>
        <v>25711433</v>
      </c>
      <c r="P24" s="63">
        <f t="shared" si="1"/>
        <v>39.600123047076067</v>
      </c>
      <c r="Q24" s="73">
        <f t="shared" si="2"/>
        <v>39286303</v>
      </c>
      <c r="S24" s="205">
        <f t="shared" si="3"/>
        <v>4.5451632317657555</v>
      </c>
      <c r="T24" s="205">
        <f t="shared" si="4"/>
        <v>0.67786747065224928</v>
      </c>
      <c r="U24" s="205">
        <f t="shared" si="5"/>
        <v>18.795540564896111</v>
      </c>
      <c r="V24" s="205">
        <f t="shared" si="6"/>
        <v>30.968708438252339</v>
      </c>
      <c r="W24" s="206">
        <f t="shared" si="7"/>
        <v>0.14676631545123142</v>
      </c>
    </row>
    <row r="25" spans="1:23" x14ac:dyDescent="0.35">
      <c r="A25" s="18">
        <v>44344</v>
      </c>
      <c r="B25" s="19">
        <v>21</v>
      </c>
      <c r="C25" s="61">
        <f>'[1]Table 4'!C26+'[1]Table 5'!D26</f>
        <v>489</v>
      </c>
      <c r="D25" s="55">
        <v>12851588</v>
      </c>
      <c r="E25" s="54">
        <f>'[1]Table 4'!E26+'[1]Table 5'!F26</f>
        <v>26.741871256</v>
      </c>
      <c r="F25" s="53">
        <f>'[1]Table 4'!J26+'[1]Table 5'!K26</f>
        <v>23</v>
      </c>
      <c r="G25" s="55">
        <v>2165004</v>
      </c>
      <c r="H25" s="54">
        <f>'[1]Table 5'!M26</f>
        <v>27.033407870000001</v>
      </c>
      <c r="I25" s="53">
        <f>'[1]Table 4'!Q26+'[1]Table 5'!R26</f>
        <v>1268</v>
      </c>
      <c r="J25" s="55">
        <v>6225273</v>
      </c>
      <c r="K25" s="54">
        <f>'[1]Table 4'!S26+'[1]Table 5'!T26</f>
        <v>108.295224171</v>
      </c>
      <c r="L25" s="53">
        <f>'[1]Table 4'!X26+'[1]Table 5'!Y26</f>
        <v>5057</v>
      </c>
      <c r="M25" s="55">
        <v>18037385</v>
      </c>
      <c r="N25" s="62">
        <f>'[1]Table 4'!Z26+'[1]Table 5'!AA26</f>
        <v>13.201777461000001</v>
      </c>
      <c r="O25" s="55">
        <f t="shared" si="0"/>
        <v>26427662</v>
      </c>
      <c r="P25" s="63">
        <f t="shared" si="1"/>
        <v>36.735005691431752</v>
      </c>
      <c r="Q25" s="73">
        <f t="shared" si="2"/>
        <v>39279250</v>
      </c>
      <c r="S25" s="205">
        <f t="shared" si="3"/>
        <v>3.8049772526165637</v>
      </c>
      <c r="T25" s="205">
        <f t="shared" si="4"/>
        <v>1.062353695420424</v>
      </c>
      <c r="U25" s="205">
        <f t="shared" si="5"/>
        <v>20.368584638778092</v>
      </c>
      <c r="V25" s="205">
        <f t="shared" si="6"/>
        <v>28.036214783905759</v>
      </c>
      <c r="W25" s="206">
        <f t="shared" si="7"/>
        <v>0.13571651101777185</v>
      </c>
    </row>
    <row r="26" spans="1:23" x14ac:dyDescent="0.35">
      <c r="A26" s="18">
        <v>44351</v>
      </c>
      <c r="B26" s="19">
        <v>22</v>
      </c>
      <c r="C26" s="61">
        <f>'[1]Table 4'!C27+'[1]Table 5'!D27</f>
        <v>520</v>
      </c>
      <c r="D26" s="55">
        <v>12356247</v>
      </c>
      <c r="E26" s="54">
        <f>'[1]Table 4'!E27+'[1]Table 5'!F27</f>
        <v>29.546190505999999</v>
      </c>
      <c r="F26" s="53">
        <f>'[1]Table 4'!J27+'[1]Table 5'!K27</f>
        <v>18</v>
      </c>
      <c r="G26" s="55">
        <v>2033912</v>
      </c>
      <c r="H26" s="54">
        <f>'[1]Table 5'!M27</f>
        <v>28.47817817</v>
      </c>
      <c r="I26" s="53">
        <f>'[1]Table 4'!Q27+'[1]Table 5'!R27</f>
        <v>1017</v>
      </c>
      <c r="J26" s="55">
        <v>5306785</v>
      </c>
      <c r="K26" s="54">
        <f>'[1]Table 4'!S27+'[1]Table 5'!T27</f>
        <v>100.723915984</v>
      </c>
      <c r="L26" s="53">
        <f>'[1]Table 4'!X27+'[1]Table 5'!Y27</f>
        <v>5352</v>
      </c>
      <c r="M26" s="55">
        <v>19575469</v>
      </c>
      <c r="N26" s="62">
        <f>'[1]Table 4'!Z27+'[1]Table 5'!AA27</f>
        <v>13.721403286999999</v>
      </c>
      <c r="O26" s="55">
        <f t="shared" si="0"/>
        <v>26916166</v>
      </c>
      <c r="P26" s="63">
        <f t="shared" si="1"/>
        <v>31.989889625603404</v>
      </c>
      <c r="Q26" s="73">
        <f t="shared" si="2"/>
        <v>39272413</v>
      </c>
      <c r="S26" s="205">
        <f t="shared" si="3"/>
        <v>4.2083975822108446</v>
      </c>
      <c r="T26" s="205">
        <f t="shared" si="4"/>
        <v>0.88499404104012369</v>
      </c>
      <c r="U26" s="205">
        <f t="shared" si="5"/>
        <v>19.164145523136888</v>
      </c>
      <c r="V26" s="205">
        <f t="shared" si="6"/>
        <v>27.340341117753042</v>
      </c>
      <c r="W26" s="206">
        <f t="shared" si="7"/>
        <v>0.15392630121495393</v>
      </c>
    </row>
    <row r="27" spans="1:23" x14ac:dyDescent="0.35">
      <c r="A27" s="18">
        <v>44358</v>
      </c>
      <c r="B27" s="19">
        <v>23</v>
      </c>
      <c r="C27" s="61">
        <f>'[1]Table 4'!C28+'[1]Table 5'!D28</f>
        <v>450</v>
      </c>
      <c r="D27" s="55">
        <v>11757509</v>
      </c>
      <c r="E27" s="54">
        <f>'[1]Table 4'!E28+'[1]Table 5'!F28</f>
        <v>26.044215647999998</v>
      </c>
      <c r="F27" s="53">
        <f>'[1]Table 4'!J28+'[1]Table 5'!K28</f>
        <v>15</v>
      </c>
      <c r="G27" s="55">
        <v>1806631</v>
      </c>
      <c r="H27" s="54">
        <f>'[1]Table 5'!M28</f>
        <v>33.536608809999997</v>
      </c>
      <c r="I27" s="53">
        <f>'[1]Table 4'!Q28+'[1]Table 5'!R28</f>
        <v>860</v>
      </c>
      <c r="J27" s="55">
        <v>4641596</v>
      </c>
      <c r="K27" s="54">
        <f>'[1]Table 4'!S28+'[1]Table 5'!T28</f>
        <v>99.136279033000008</v>
      </c>
      <c r="L27" s="53">
        <f>'[1]Table 4'!X28+'[1]Table 5'!Y28</f>
        <v>5437</v>
      </c>
      <c r="M27" s="55">
        <v>21059770</v>
      </c>
      <c r="N27" s="62">
        <f>'[1]Table 4'!Z28+'[1]Table 5'!AA28</f>
        <v>13.773644484</v>
      </c>
      <c r="O27" s="55">
        <f t="shared" si="0"/>
        <v>27507997</v>
      </c>
      <c r="P27" s="63">
        <f t="shared" si="1"/>
        <v>29.475378313451337</v>
      </c>
      <c r="Q27" s="73">
        <f t="shared" si="2"/>
        <v>39265506</v>
      </c>
      <c r="S27" s="205">
        <f t="shared" si="3"/>
        <v>3.8273413186415595</v>
      </c>
      <c r="T27" s="205">
        <f t="shared" si="4"/>
        <v>0.83027469361480011</v>
      </c>
      <c r="U27" s="205">
        <f t="shared" si="5"/>
        <v>18.52810972777467</v>
      </c>
      <c r="V27" s="205">
        <f t="shared" si="6"/>
        <v>25.816996102046698</v>
      </c>
      <c r="W27" s="206">
        <f t="shared" si="7"/>
        <v>0.14824890175112737</v>
      </c>
    </row>
    <row r="28" spans="1:23" x14ac:dyDescent="0.35">
      <c r="A28" s="18">
        <v>44365</v>
      </c>
      <c r="B28" s="19">
        <v>24</v>
      </c>
      <c r="C28" s="61">
        <f>'[1]Table 4'!C29+'[1]Table 5'!D29</f>
        <v>461</v>
      </c>
      <c r="D28" s="55">
        <v>10970992</v>
      </c>
      <c r="E28" s="54">
        <f>'[1]Table 4'!E29+'[1]Table 5'!F29</f>
        <v>26.356926990999998</v>
      </c>
      <c r="F28" s="53">
        <f>'[1]Table 4'!J29+'[1]Table 5'!K29</f>
        <v>9</v>
      </c>
      <c r="G28" s="55"/>
      <c r="H28" s="54"/>
      <c r="I28" s="53">
        <f>'[1]Table 4'!Q29+'[1]Table 5'!R29</f>
        <v>712</v>
      </c>
      <c r="J28" s="55">
        <v>4381714</v>
      </c>
      <c r="K28" s="54">
        <f>'[1]Table 4'!S29+'[1]Table 5'!T29</f>
        <v>95.976347809999993</v>
      </c>
      <c r="L28" s="53">
        <f>'[1]Table 4'!X29+'[1]Table 5'!Y29</f>
        <v>5539</v>
      </c>
      <c r="M28" s="55">
        <v>22035117</v>
      </c>
      <c r="N28" s="62">
        <f>'[1]Table 4'!Z29+'[1]Table 5'!AA29</f>
        <v>13.749580347</v>
      </c>
      <c r="O28" s="55">
        <f t="shared" si="0"/>
        <v>26416831</v>
      </c>
      <c r="P28" s="63">
        <f t="shared" si="1"/>
        <v>27.388391836817672</v>
      </c>
      <c r="Q28" s="73">
        <f t="shared" si="2"/>
        <v>37387823</v>
      </c>
      <c r="S28" s="205">
        <f t="shared" si="3"/>
        <v>4.2019901208568928</v>
      </c>
      <c r="T28" s="205">
        <f>F28/'ONS Table 5'!L29*100000</f>
        <v>0.4810465006272312</v>
      </c>
      <c r="U28" s="205">
        <f t="shared" si="5"/>
        <v>16.249348999044667</v>
      </c>
      <c r="V28" s="205">
        <f t="shared" si="6"/>
        <v>25.137148125875616</v>
      </c>
      <c r="W28" s="206">
        <f t="shared" si="7"/>
        <v>0.16716256354202164</v>
      </c>
    </row>
    <row r="29" spans="1:23" x14ac:dyDescent="0.35">
      <c r="A29" s="18">
        <v>44372</v>
      </c>
      <c r="B29" s="19">
        <v>25</v>
      </c>
      <c r="C29" s="61">
        <f>'[1]Table 4'!C30+'[1]Table 5'!D30</f>
        <v>460</v>
      </c>
      <c r="D29" s="55">
        <v>10125621</v>
      </c>
      <c r="E29" s="54">
        <f>'[1]Table 4'!E30+'[1]Table 5'!F30</f>
        <v>26.311702592000003</v>
      </c>
      <c r="F29" s="53">
        <f>'[1]Table 4'!J30+'[1]Table 5'!K30</f>
        <v>8</v>
      </c>
      <c r="G29" s="55"/>
      <c r="H29" s="54"/>
      <c r="I29" s="53">
        <f>'[1]Table 4'!Q30+'[1]Table 5'!R30</f>
        <v>642</v>
      </c>
      <c r="J29" s="55">
        <v>4235381</v>
      </c>
      <c r="K29" s="54">
        <f>'[1]Table 5'!T30</f>
        <v>95.237917929999995</v>
      </c>
      <c r="L29" s="53">
        <f>'[1]Table 4'!X30+'[1]Table 5'!Y30</f>
        <v>5586</v>
      </c>
      <c r="M29" s="55">
        <v>22669600</v>
      </c>
      <c r="N29" s="62">
        <f>'[1]Table 4'!Z30+'[1]Table 5'!AA30</f>
        <v>14.008039148</v>
      </c>
      <c r="O29" s="55">
        <f t="shared" si="0"/>
        <v>26904981</v>
      </c>
      <c r="P29" s="63">
        <f t="shared" si="1"/>
        <v>26.795243317576851</v>
      </c>
      <c r="Q29" s="73">
        <f t="shared" si="2"/>
        <v>37030602</v>
      </c>
      <c r="S29" s="205">
        <f t="shared" si="3"/>
        <v>4.5429312434269464</v>
      </c>
      <c r="T29" s="205">
        <f>F29/'ONS Table 5'!L30*100000</f>
        <v>0.36012984481554827</v>
      </c>
      <c r="U29" s="205">
        <f t="shared" si="5"/>
        <v>15.158022383346387</v>
      </c>
      <c r="V29" s="205">
        <f>L29/M29*100000</f>
        <v>24.640928820976107</v>
      </c>
      <c r="W29" s="206">
        <f t="shared" si="7"/>
        <v>0.18436525978516202</v>
      </c>
    </row>
    <row r="30" spans="1:23" x14ac:dyDescent="0.35">
      <c r="A30" s="21">
        <v>44379</v>
      </c>
      <c r="B30" s="22">
        <v>26</v>
      </c>
      <c r="C30" s="76">
        <f>'[1]Table 4'!C31+'[1]Table 5'!D31</f>
        <v>436</v>
      </c>
      <c r="D30" s="57">
        <v>9531364</v>
      </c>
      <c r="E30" s="77">
        <f>'[1]Table 4'!E31+'[1]Table 5'!F31</f>
        <v>25.263540835000001</v>
      </c>
      <c r="F30" s="78">
        <f>'[1]Table 4'!J31+'[1]Table 5'!K31</f>
        <v>8</v>
      </c>
      <c r="G30" s="57"/>
      <c r="H30" s="78"/>
      <c r="I30" s="78">
        <f>'[1]Table 4'!Q31+'[1]Table 5'!R31</f>
        <v>568</v>
      </c>
      <c r="J30" s="57">
        <v>4186631</v>
      </c>
      <c r="K30" s="77">
        <f>'[1]Table 4'!S31+'[1]Table 5'!T31</f>
        <v>89.349847393999994</v>
      </c>
      <c r="L30" s="78">
        <f>'[1]Table 4'!X31+'[1]Table 5'!Y31</f>
        <v>5944</v>
      </c>
      <c r="M30" s="57">
        <v>23309568</v>
      </c>
      <c r="N30" s="79">
        <f>'[1]Table 4'!Z31+'[1]Table 5'!AA31</f>
        <v>14.740507317</v>
      </c>
      <c r="O30" s="57">
        <f>G30+J30+M30</f>
        <v>27496199</v>
      </c>
      <c r="P30" s="81">
        <f t="shared" si="1"/>
        <v>26.100687538852139</v>
      </c>
      <c r="Q30" s="73">
        <f>D30+G30+J30+M30</f>
        <v>37027563</v>
      </c>
      <c r="S30" s="205">
        <f t="shared" si="3"/>
        <v>4.5743715170252655</v>
      </c>
      <c r="T30" s="205">
        <f>F30/'ONS Table 5'!L31*100000</f>
        <v>0.360723683854549</v>
      </c>
      <c r="U30" s="205">
        <f t="shared" si="5"/>
        <v>13.56699455958741</v>
      </c>
      <c r="V30" s="205">
        <f t="shared" si="6"/>
        <v>25.50025809144125</v>
      </c>
      <c r="W30" s="206">
        <f t="shared" si="7"/>
        <v>0.1793853027142725</v>
      </c>
    </row>
    <row r="31" spans="1:23" x14ac:dyDescent="0.35">
      <c r="A31" s="72"/>
      <c r="B31" s="40"/>
      <c r="C31" s="40"/>
      <c r="D31" s="40"/>
      <c r="E31" s="40"/>
      <c r="F31" s="40"/>
      <c r="G31" s="40"/>
      <c r="H31" s="40"/>
      <c r="I31" s="3"/>
      <c r="J31" s="3"/>
      <c r="K31" s="3"/>
      <c r="L31" s="24"/>
      <c r="M31" s="24"/>
      <c r="N31" s="3"/>
      <c r="O31" s="3"/>
    </row>
    <row r="32" spans="1:23" x14ac:dyDescent="0.35">
      <c r="R32" s="82"/>
      <c r="S32" s="82"/>
      <c r="T32" s="82"/>
      <c r="V32" s="82"/>
      <c r="W32" s="82"/>
    </row>
    <row r="33" spans="18:23" x14ac:dyDescent="0.35">
      <c r="R33" s="82"/>
    </row>
    <row r="34" spans="18:23" x14ac:dyDescent="0.35">
      <c r="R34" s="82"/>
      <c r="S34" s="82"/>
      <c r="T34" s="82"/>
      <c r="U34" s="82"/>
      <c r="W34" s="82"/>
    </row>
    <row r="66" spans="18:21" x14ac:dyDescent="0.35">
      <c r="R66" s="82"/>
    </row>
    <row r="67" spans="18:21" x14ac:dyDescent="0.35">
      <c r="R67" s="82"/>
      <c r="S67" s="82"/>
      <c r="T67" s="82"/>
      <c r="U67" s="82"/>
    </row>
    <row r="99" spans="18:21" x14ac:dyDescent="0.35">
      <c r="R99" s="82"/>
    </row>
    <row r="100" spans="18:21" x14ac:dyDescent="0.35">
      <c r="R100" s="82"/>
      <c r="S100" s="82"/>
      <c r="T100" s="82"/>
      <c r="U100" s="82"/>
    </row>
    <row r="132" spans="18:21" x14ac:dyDescent="0.35">
      <c r="R132" s="82"/>
    </row>
    <row r="133" spans="18:21" x14ac:dyDescent="0.35">
      <c r="R133" s="82"/>
      <c r="S133" s="82"/>
      <c r="T133" s="82"/>
      <c r="U133" s="82"/>
    </row>
  </sheetData>
  <mergeCells count="7">
    <mergeCell ref="S3:W3"/>
    <mergeCell ref="O3:P3"/>
    <mergeCell ref="A1:M1"/>
    <mergeCell ref="C3:E3"/>
    <mergeCell ref="F3:H3"/>
    <mergeCell ref="I3:K3"/>
    <mergeCell ref="L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AAC19-1357-4D46-8A20-9711347689FF}">
  <dimension ref="A1:AD44"/>
  <sheetViews>
    <sheetView topLeftCell="E1" zoomScale="115" zoomScaleNormal="115" workbookViewId="0">
      <selection activeCell="M3" sqref="M3:M16"/>
    </sheetView>
  </sheetViews>
  <sheetFormatPr defaultColWidth="9.1796875" defaultRowHeight="14.5" x14ac:dyDescent="0.35"/>
  <cols>
    <col min="1" max="1" width="15.7265625" style="1" customWidth="1"/>
    <col min="2" max="2" width="10" style="1" customWidth="1"/>
    <col min="3" max="3" width="10.81640625" style="1" customWidth="1"/>
    <col min="4" max="4" width="10.26953125" style="1" customWidth="1"/>
    <col min="5" max="5" width="13.7265625" style="1" customWidth="1"/>
    <col min="6" max="6" width="10.81640625" style="1" customWidth="1"/>
    <col min="7" max="7" width="13.26953125" style="1" customWidth="1"/>
    <col min="8" max="8" width="14.1796875" style="1" customWidth="1"/>
    <col min="9" max="9" width="11.81640625" style="1" customWidth="1"/>
    <col min="10" max="10" width="16.453125" style="1" customWidth="1"/>
    <col min="11" max="11" width="11.81640625" style="1" customWidth="1"/>
    <col min="12" max="13" width="14.81640625" style="1" customWidth="1"/>
    <col min="14" max="14" width="12.26953125" style="1" customWidth="1"/>
    <col min="15" max="15" width="13.453125" style="1" customWidth="1"/>
    <col min="16" max="16" width="16.26953125" style="1" customWidth="1"/>
    <col min="17" max="17" width="23.7265625" style="1" customWidth="1"/>
    <col min="18" max="18" width="14.26953125" style="1" customWidth="1"/>
    <col min="19" max="20" width="13.26953125" style="1" customWidth="1"/>
    <col min="21" max="23" width="9.1796875" style="1"/>
    <col min="24" max="30" width="13" style="1" customWidth="1"/>
    <col min="31" max="16384" width="9.1796875" style="1"/>
  </cols>
  <sheetData>
    <row r="1" spans="1:30" x14ac:dyDescent="0.35">
      <c r="A1" s="134"/>
      <c r="B1" s="134"/>
      <c r="C1" s="134"/>
      <c r="D1" s="287" t="s">
        <v>239</v>
      </c>
      <c r="E1" s="288"/>
      <c r="F1" s="288"/>
      <c r="G1" s="175"/>
      <c r="H1" s="242" t="s">
        <v>264</v>
      </c>
      <c r="I1" s="292" t="s">
        <v>238</v>
      </c>
      <c r="J1" s="293"/>
      <c r="K1" s="293"/>
      <c r="L1" s="293"/>
      <c r="M1" s="296" t="s">
        <v>266</v>
      </c>
      <c r="N1" s="297"/>
      <c r="O1" s="297"/>
      <c r="P1" s="297"/>
      <c r="Q1" s="189"/>
      <c r="R1" s="289" t="s">
        <v>109</v>
      </c>
      <c r="S1" s="290"/>
      <c r="T1" s="290"/>
      <c r="U1" s="82"/>
      <c r="V1" s="82"/>
      <c r="W1" s="82"/>
      <c r="X1" s="82"/>
      <c r="Y1" s="82"/>
      <c r="Z1" s="82"/>
    </row>
    <row r="2" spans="1:30" x14ac:dyDescent="0.35">
      <c r="A2" s="153" t="s">
        <v>134</v>
      </c>
      <c r="B2" s="153" t="s">
        <v>135</v>
      </c>
      <c r="C2" s="153" t="s">
        <v>217</v>
      </c>
      <c r="D2" s="174" t="s">
        <v>231</v>
      </c>
      <c r="E2" s="174" t="s">
        <v>232</v>
      </c>
      <c r="F2" s="174" t="s">
        <v>233</v>
      </c>
      <c r="G2" s="174" t="s">
        <v>7</v>
      </c>
      <c r="H2" s="242" t="s">
        <v>13</v>
      </c>
      <c r="I2" s="177" t="s">
        <v>231</v>
      </c>
      <c r="J2" s="177" t="s">
        <v>232</v>
      </c>
      <c r="K2" s="177" t="s">
        <v>233</v>
      </c>
      <c r="L2" s="196" t="s">
        <v>13</v>
      </c>
      <c r="M2" s="168" t="s">
        <v>103</v>
      </c>
      <c r="N2" s="168" t="s">
        <v>106</v>
      </c>
      <c r="O2" s="168" t="s">
        <v>7</v>
      </c>
      <c r="P2" s="168" t="s">
        <v>13</v>
      </c>
      <c r="Q2" s="189"/>
      <c r="R2" s="190" t="s">
        <v>103</v>
      </c>
      <c r="S2" s="190" t="s">
        <v>106</v>
      </c>
      <c r="T2" s="190" t="s">
        <v>7</v>
      </c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x14ac:dyDescent="0.35">
      <c r="A3" s="194">
        <v>80</v>
      </c>
      <c r="B3" s="194">
        <v>100</v>
      </c>
      <c r="C3" s="195">
        <f>(B3-A3)/2+A3</f>
        <v>90</v>
      </c>
      <c r="D3" s="175">
        <f>I3</f>
        <v>0.93103826507188081</v>
      </c>
      <c r="E3" s="175">
        <f>J3</f>
        <v>2.1341819612265087E-2</v>
      </c>
      <c r="F3" s="175">
        <f>K3</f>
        <v>0.95238008468414592</v>
      </c>
      <c r="G3" s="175">
        <f>1-D3-E3</f>
        <v>4.7619915315854106E-2</v>
      </c>
      <c r="H3" s="243">
        <f>SUM('ONS Population Estimates 2021'!B20:B22)</f>
        <v>2855599</v>
      </c>
      <c r="I3" s="178">
        <f>'NIMS Week 26 vaccines'!I48</f>
        <v>0.93103826507188081</v>
      </c>
      <c r="J3" s="178">
        <f>'NIMS Week 26 vaccines'!H48</f>
        <v>2.1341819612265087E-2</v>
      </c>
      <c r="K3" s="178">
        <f>SUM(I3:J3)</f>
        <v>0.95238008468414592</v>
      </c>
      <c r="L3" s="179">
        <f>'NIMS Week 26 vaccines'!C48</f>
        <v>2798871</v>
      </c>
      <c r="M3" s="181">
        <f t="shared" ref="M3:M14" si="0">D3*H3</f>
        <v>2658671.9387009977</v>
      </c>
      <c r="N3" s="181">
        <f t="shared" ref="N3:N14" si="1">E3*H3</f>
        <v>60943.67874296457</v>
      </c>
      <c r="O3" s="181">
        <f>P3-M3-N3</f>
        <v>135983.38255603769</v>
      </c>
      <c r="P3" s="181">
        <f t="shared" ref="P3:P17" si="2">H3</f>
        <v>2855599</v>
      </c>
      <c r="Q3" s="189"/>
      <c r="R3" s="191">
        <f t="shared" ref="R3:R17" si="3">M3*C3</f>
        <v>239280474.4830898</v>
      </c>
      <c r="S3" s="191">
        <f t="shared" ref="S3:S17" si="4">C3*N3</f>
        <v>5484931.0868668109</v>
      </c>
      <c r="T3" s="191">
        <f t="shared" ref="T3:T17" si="5">C3*O3</f>
        <v>12238504.430043392</v>
      </c>
      <c r="X3" s="73"/>
      <c r="Z3" s="73"/>
      <c r="AA3" s="73"/>
      <c r="AB3" s="73"/>
      <c r="AC3" s="73"/>
      <c r="AD3" s="73"/>
    </row>
    <row r="4" spans="1:30" x14ac:dyDescent="0.35">
      <c r="A4" s="194">
        <v>75</v>
      </c>
      <c r="B4" s="194">
        <v>79</v>
      </c>
      <c r="C4" s="195">
        <f t="shared" ref="C4:C17" si="6">(B4-A4)/2+A4</f>
        <v>77</v>
      </c>
      <c r="D4" s="175">
        <f t="shared" ref="D4:D16" si="7">I4</f>
        <v>0.9404223492546</v>
      </c>
      <c r="E4" s="175">
        <f t="shared" ref="E4:E16" si="8">J4</f>
        <v>1.3674765581974764E-2</v>
      </c>
      <c r="F4" s="175">
        <f t="shared" ref="F4:F16" si="9">K4</f>
        <v>0.95409711483657478</v>
      </c>
      <c r="G4" s="175">
        <f t="shared" ref="G4:G17" si="10">1-D4-E4</f>
        <v>4.5902885163425236E-2</v>
      </c>
      <c r="H4" s="243">
        <f>'ONS Population Estimates 2021'!B19</f>
        <v>2009992</v>
      </c>
      <c r="I4" s="178">
        <f>'NIMS Week 26 vaccines'!I47</f>
        <v>0.9404223492546</v>
      </c>
      <c r="J4" s="178">
        <f>'NIMS Week 26 vaccines'!H47</f>
        <v>1.3674765581974764E-2</v>
      </c>
      <c r="K4" s="178">
        <f>SUM(I4:J4)</f>
        <v>0.95409711483657478</v>
      </c>
      <c r="L4" s="179">
        <f>'NIMS Week 26 vaccines'!C47</f>
        <v>2079085</v>
      </c>
      <c r="M4" s="181">
        <f t="shared" si="0"/>
        <v>1890241.3986229519</v>
      </c>
      <c r="N4" s="181">
        <f t="shared" si="1"/>
        <v>27486.169421644619</v>
      </c>
      <c r="O4" s="181">
        <f t="shared" ref="O4:O16" si="11">P4-M4-N4</f>
        <v>92264.431955403445</v>
      </c>
      <c r="P4" s="181">
        <f t="shared" si="2"/>
        <v>2009992</v>
      </c>
      <c r="Q4" s="189"/>
      <c r="R4" s="191">
        <f t="shared" si="3"/>
        <v>145548587.69396731</v>
      </c>
      <c r="S4" s="191">
        <f t="shared" si="4"/>
        <v>2116435.0454666358</v>
      </c>
      <c r="T4" s="191">
        <f t="shared" si="5"/>
        <v>7104361.2605660651</v>
      </c>
      <c r="X4" s="73"/>
      <c r="Z4" s="73"/>
      <c r="AA4" s="73"/>
      <c r="AB4" s="73"/>
      <c r="AC4" s="73"/>
      <c r="AD4" s="73"/>
    </row>
    <row r="5" spans="1:30" x14ac:dyDescent="0.35">
      <c r="A5" s="194">
        <v>70</v>
      </c>
      <c r="B5" s="194">
        <v>74</v>
      </c>
      <c r="C5" s="195">
        <f t="shared" si="6"/>
        <v>72</v>
      </c>
      <c r="D5" s="175">
        <f t="shared" si="7"/>
        <v>0.92957812668069995</v>
      </c>
      <c r="E5" s="175">
        <f t="shared" si="8"/>
        <v>1.440602474268864E-2</v>
      </c>
      <c r="F5" s="175">
        <f t="shared" si="9"/>
        <v>0.94398415142338854</v>
      </c>
      <c r="G5" s="175">
        <f t="shared" si="10"/>
        <v>5.6015848576611418E-2</v>
      </c>
      <c r="H5" s="243">
        <f>'ONS Population Estimates 2021'!B18</f>
        <v>2814128</v>
      </c>
      <c r="I5" s="178">
        <f>'NIMS Week 26 vaccines'!I46</f>
        <v>0.92957812668069995</v>
      </c>
      <c r="J5" s="178">
        <f>'NIMS Week 26 vaccines'!H46</f>
        <v>1.440602474268864E-2</v>
      </c>
      <c r="K5" s="178">
        <f t="shared" ref="K5:K16" si="12">SUM(I5:J5)</f>
        <v>0.94398415142338854</v>
      </c>
      <c r="L5" s="179">
        <f>'NIMS Week 26 vaccines'!C46</f>
        <v>2872687</v>
      </c>
      <c r="M5" s="181">
        <f t="shared" si="0"/>
        <v>2615951.834479705</v>
      </c>
      <c r="N5" s="181">
        <f t="shared" si="1"/>
        <v>40540.397597092895</v>
      </c>
      <c r="O5" s="181">
        <f t="shared" si="11"/>
        <v>157635.76792320213</v>
      </c>
      <c r="P5" s="181">
        <f t="shared" si="2"/>
        <v>2814128</v>
      </c>
      <c r="Q5" s="189"/>
      <c r="R5" s="191">
        <f t="shared" si="3"/>
        <v>188348532.08253875</v>
      </c>
      <c r="S5" s="191">
        <f t="shared" si="4"/>
        <v>2918908.6269906885</v>
      </c>
      <c r="T5" s="191">
        <f t="shared" si="5"/>
        <v>11349775.290470554</v>
      </c>
      <c r="X5" s="73"/>
      <c r="Z5" s="73"/>
      <c r="AA5" s="73"/>
      <c r="AB5" s="73"/>
      <c r="AC5" s="73"/>
      <c r="AD5" s="73"/>
    </row>
    <row r="6" spans="1:30" x14ac:dyDescent="0.35">
      <c r="A6" s="194">
        <v>65</v>
      </c>
      <c r="B6" s="194">
        <v>69</v>
      </c>
      <c r="C6" s="195">
        <f t="shared" si="6"/>
        <v>67</v>
      </c>
      <c r="D6" s="175">
        <f t="shared" si="7"/>
        <v>0.90105770258735962</v>
      </c>
      <c r="E6" s="175">
        <f t="shared" si="8"/>
        <v>2.053508935512699E-2</v>
      </c>
      <c r="F6" s="175">
        <f t="shared" si="9"/>
        <v>0.92159279194248667</v>
      </c>
      <c r="G6" s="175">
        <f t="shared" si="10"/>
        <v>7.8407208057513389E-2</v>
      </c>
      <c r="H6" s="243">
        <f>'ONS Population Estimates 2021'!B17</f>
        <v>2784300</v>
      </c>
      <c r="I6" s="178">
        <f>'NIMS Week 26 vaccines'!I45</f>
        <v>0.90105770258735962</v>
      </c>
      <c r="J6" s="178">
        <f>'NIMS Week 26 vaccines'!H45</f>
        <v>2.053508935512699E-2</v>
      </c>
      <c r="K6" s="178">
        <f t="shared" si="12"/>
        <v>0.92159279194248667</v>
      </c>
      <c r="L6" s="179">
        <f>'NIMS Week 26 vaccines'!C45</f>
        <v>2890321</v>
      </c>
      <c r="M6" s="181">
        <f t="shared" si="0"/>
        <v>2508814.9613139853</v>
      </c>
      <c r="N6" s="181">
        <f t="shared" si="1"/>
        <v>57175.849291480081</v>
      </c>
      <c r="O6" s="181">
        <f t="shared" si="11"/>
        <v>218309.18939453462</v>
      </c>
      <c r="P6" s="181">
        <f t="shared" si="2"/>
        <v>2784300</v>
      </c>
      <c r="Q6" s="189"/>
      <c r="R6" s="191">
        <f t="shared" si="3"/>
        <v>168090602.40803701</v>
      </c>
      <c r="S6" s="191">
        <f t="shared" si="4"/>
        <v>3830781.9025291656</v>
      </c>
      <c r="T6" s="191">
        <f t="shared" si="5"/>
        <v>14626715.689433821</v>
      </c>
      <c r="X6" s="73"/>
      <c r="Z6" s="73"/>
      <c r="AA6" s="73"/>
      <c r="AB6" s="73"/>
      <c r="AC6" s="73"/>
      <c r="AD6" s="73"/>
    </row>
    <row r="7" spans="1:30" x14ac:dyDescent="0.35">
      <c r="A7" s="194">
        <v>60</v>
      </c>
      <c r="B7" s="194">
        <v>64</v>
      </c>
      <c r="C7" s="195">
        <f t="shared" si="6"/>
        <v>62</v>
      </c>
      <c r="D7" s="175">
        <f t="shared" si="7"/>
        <v>0.86841263827259663</v>
      </c>
      <c r="E7" s="175">
        <f t="shared" si="8"/>
        <v>3.318745240413646E-2</v>
      </c>
      <c r="F7" s="175">
        <f t="shared" si="9"/>
        <v>0.90160009067673308</v>
      </c>
      <c r="G7" s="175">
        <f t="shared" si="10"/>
        <v>9.8399909323266921E-2</v>
      </c>
      <c r="H7" s="243">
        <f>'ONS Population Estimates 2021'!B16</f>
        <v>3196813</v>
      </c>
      <c r="I7" s="178">
        <f>'NIMS Week 26 vaccines'!I44</f>
        <v>0.86841263827259663</v>
      </c>
      <c r="J7" s="178">
        <f>'NIMS Week 26 vaccines'!H44</f>
        <v>3.318745240413646E-2</v>
      </c>
      <c r="K7" s="178">
        <f t="shared" si="12"/>
        <v>0.90160009067673308</v>
      </c>
      <c r="L7" s="179">
        <f>'NIMS Week 26 vaccines'!C44</f>
        <v>3449617</v>
      </c>
      <c r="M7" s="181">
        <f t="shared" si="0"/>
        <v>2776152.8113941345</v>
      </c>
      <c r="N7" s="181">
        <f t="shared" si="1"/>
        <v>106094.07928242469</v>
      </c>
      <c r="O7" s="181">
        <f t="shared" si="11"/>
        <v>314566.10932344076</v>
      </c>
      <c r="P7" s="181">
        <f t="shared" si="2"/>
        <v>3196813</v>
      </c>
      <c r="Q7" s="189"/>
      <c r="R7" s="191">
        <f t="shared" si="3"/>
        <v>172121474.30643633</v>
      </c>
      <c r="S7" s="191">
        <f t="shared" si="4"/>
        <v>6577832.9155103303</v>
      </c>
      <c r="T7" s="191">
        <f t="shared" si="5"/>
        <v>19503098.778053328</v>
      </c>
      <c r="X7" s="73"/>
      <c r="Z7" s="73"/>
      <c r="AA7" s="73"/>
      <c r="AB7" s="73"/>
      <c r="AC7" s="73"/>
      <c r="AD7" s="73"/>
    </row>
    <row r="8" spans="1:30" x14ac:dyDescent="0.35">
      <c r="A8" s="194">
        <v>55</v>
      </c>
      <c r="B8" s="194">
        <v>59</v>
      </c>
      <c r="C8" s="195">
        <f t="shared" si="6"/>
        <v>57</v>
      </c>
      <c r="D8" s="175">
        <f t="shared" si="7"/>
        <v>0.83962366700880686</v>
      </c>
      <c r="E8" s="175">
        <f t="shared" si="8"/>
        <v>4.2122509432985379E-2</v>
      </c>
      <c r="F8" s="175">
        <f t="shared" si="9"/>
        <v>0.88174617644179221</v>
      </c>
      <c r="G8" s="175">
        <f t="shared" si="10"/>
        <v>0.11825382355820777</v>
      </c>
      <c r="H8" s="243">
        <f>'ONS Population Estimates 2021'!B15</f>
        <v>3761782</v>
      </c>
      <c r="I8" s="178">
        <f>'NIMS Week 26 vaccines'!I43</f>
        <v>0.83962366700880686</v>
      </c>
      <c r="J8" s="178">
        <f>'NIMS Week 26 vaccines'!H43</f>
        <v>4.2122509432985379E-2</v>
      </c>
      <c r="K8" s="178">
        <f t="shared" si="12"/>
        <v>0.88174617644179221</v>
      </c>
      <c r="L8" s="179">
        <f>'NIMS Week 26 vaccines'!C43</f>
        <v>4075327</v>
      </c>
      <c r="M8" s="181">
        <f t="shared" si="0"/>
        <v>3158481.1973277237</v>
      </c>
      <c r="N8" s="181">
        <f t="shared" si="1"/>
        <v>158455.69777983462</v>
      </c>
      <c r="O8" s="181">
        <f t="shared" si="11"/>
        <v>444845.10489244165</v>
      </c>
      <c r="P8" s="181">
        <f t="shared" si="2"/>
        <v>3761782</v>
      </c>
      <c r="Q8" s="189"/>
      <c r="R8" s="191">
        <f t="shared" si="3"/>
        <v>180033428.24768025</v>
      </c>
      <c r="S8" s="191">
        <f t="shared" si="4"/>
        <v>9031974.7734505739</v>
      </c>
      <c r="T8" s="191">
        <f t="shared" si="5"/>
        <v>25356170.978869174</v>
      </c>
      <c r="X8" s="73"/>
      <c r="Z8" s="73"/>
      <c r="AA8" s="73"/>
      <c r="AB8" s="73"/>
      <c r="AC8" s="73"/>
      <c r="AD8" s="73"/>
    </row>
    <row r="9" spans="1:30" x14ac:dyDescent="0.35">
      <c r="A9" s="194">
        <v>50</v>
      </c>
      <c r="B9" s="194">
        <v>54</v>
      </c>
      <c r="C9" s="195">
        <f t="shared" si="6"/>
        <v>52</v>
      </c>
      <c r="D9" s="175">
        <f t="shared" si="7"/>
        <v>0.80511141030370681</v>
      </c>
      <c r="E9" s="175">
        <f t="shared" si="8"/>
        <v>5.0143752939109464E-2</v>
      </c>
      <c r="F9" s="175">
        <f t="shared" si="9"/>
        <v>0.85525516324281625</v>
      </c>
      <c r="G9" s="175">
        <f t="shared" si="10"/>
        <v>0.14474483675718372</v>
      </c>
      <c r="H9" s="243">
        <f>'ONS Population Estimates 2021'!B14</f>
        <v>3875351</v>
      </c>
      <c r="I9" s="178">
        <f>'NIMS Week 26 vaccines'!I42</f>
        <v>0.80511141030370681</v>
      </c>
      <c r="J9" s="178">
        <f>'NIMS Week 26 vaccines'!H42</f>
        <v>5.0143752939109464E-2</v>
      </c>
      <c r="K9" s="178">
        <f t="shared" si="12"/>
        <v>0.85525516324281625</v>
      </c>
      <c r="L9" s="179">
        <f>'NIMS Week 26 vaccines'!C42</f>
        <v>4223218</v>
      </c>
      <c r="M9" s="181">
        <f t="shared" si="0"/>
        <v>3120089.3090318805</v>
      </c>
      <c r="N9" s="181">
        <f t="shared" si="1"/>
        <v>194324.64309633081</v>
      </c>
      <c r="O9" s="181">
        <f t="shared" si="11"/>
        <v>560937.04787178873</v>
      </c>
      <c r="P9" s="181">
        <f t="shared" si="2"/>
        <v>3875351</v>
      </c>
      <c r="Q9" s="189"/>
      <c r="R9" s="191">
        <f t="shared" si="3"/>
        <v>162244644.06965777</v>
      </c>
      <c r="S9" s="191">
        <f t="shared" si="4"/>
        <v>10104881.441009201</v>
      </c>
      <c r="T9" s="191">
        <f t="shared" si="5"/>
        <v>29168726.489333015</v>
      </c>
      <c r="X9" s="73"/>
      <c r="Z9" s="73"/>
      <c r="AA9" s="73"/>
      <c r="AB9" s="73"/>
      <c r="AC9" s="73"/>
      <c r="AD9" s="73"/>
    </row>
    <row r="10" spans="1:30" x14ac:dyDescent="0.35">
      <c r="A10" s="194">
        <v>45</v>
      </c>
      <c r="B10" s="194">
        <v>49</v>
      </c>
      <c r="C10" s="195">
        <f t="shared" si="6"/>
        <v>47</v>
      </c>
      <c r="D10" s="175">
        <f t="shared" si="7"/>
        <v>0.61927681111940636</v>
      </c>
      <c r="E10" s="175">
        <f t="shared" si="8"/>
        <v>0.18440342886403549</v>
      </c>
      <c r="F10" s="175">
        <f t="shared" si="9"/>
        <v>0.80368023998344185</v>
      </c>
      <c r="G10" s="175">
        <f t="shared" si="10"/>
        <v>0.19631976001655815</v>
      </c>
      <c r="H10" s="243">
        <f>'ONS Population Estimates 2021'!B13</f>
        <v>3638639</v>
      </c>
      <c r="I10" s="178">
        <f>'NIMS Week 26 vaccines'!I41</f>
        <v>0.61927681111940636</v>
      </c>
      <c r="J10" s="178">
        <f>'NIMS Week 26 vaccines'!H41</f>
        <v>0.18440342886403549</v>
      </c>
      <c r="K10" s="178">
        <f t="shared" si="12"/>
        <v>0.80368023998344185</v>
      </c>
      <c r="L10" s="179">
        <f>'NIMS Week 26 vaccines'!C41</f>
        <v>3995609</v>
      </c>
      <c r="M10" s="181">
        <f t="shared" si="0"/>
        <v>2253324.7567347055</v>
      </c>
      <c r="N10" s="181">
        <f t="shared" si="1"/>
        <v>670977.50799840526</v>
      </c>
      <c r="O10" s="181">
        <f t="shared" si="11"/>
        <v>714336.73526688921</v>
      </c>
      <c r="P10" s="181">
        <f t="shared" si="2"/>
        <v>3638639</v>
      </c>
      <c r="Q10" s="189"/>
      <c r="R10" s="191">
        <f t="shared" si="3"/>
        <v>105906263.56653117</v>
      </c>
      <c r="S10" s="191">
        <f t="shared" si="4"/>
        <v>31535942.875925045</v>
      </c>
      <c r="T10" s="191">
        <f t="shared" si="5"/>
        <v>33573826.557543792</v>
      </c>
      <c r="X10" s="73"/>
      <c r="Z10" s="73"/>
      <c r="AA10" s="73"/>
      <c r="AB10" s="73"/>
      <c r="AC10" s="73"/>
      <c r="AD10" s="73"/>
    </row>
    <row r="11" spans="1:30" x14ac:dyDescent="0.35">
      <c r="A11" s="194">
        <v>40</v>
      </c>
      <c r="B11" s="194">
        <v>44</v>
      </c>
      <c r="C11" s="195">
        <f t="shared" si="6"/>
        <v>42</v>
      </c>
      <c r="D11" s="175">
        <f t="shared" si="7"/>
        <v>0.46717690587841498</v>
      </c>
      <c r="E11" s="175">
        <f t="shared" si="8"/>
        <v>0.27360916284828729</v>
      </c>
      <c r="F11" s="175">
        <f t="shared" si="9"/>
        <v>0.74078606872670227</v>
      </c>
      <c r="G11" s="175">
        <f t="shared" si="10"/>
        <v>0.25921393127329773</v>
      </c>
      <c r="H11" s="243">
        <f>'ONS Population Estimates 2021'!B12</f>
        <v>3476303</v>
      </c>
      <c r="I11" s="178">
        <f>'NIMS Week 26 vaccines'!I40</f>
        <v>0.46717690587841498</v>
      </c>
      <c r="J11" s="178">
        <f>'NIMS Week 26 vaccines'!H40</f>
        <v>0.27360916284828729</v>
      </c>
      <c r="K11" s="178">
        <f t="shared" si="12"/>
        <v>0.74078606872670227</v>
      </c>
      <c r="L11" s="179">
        <f>'NIMS Week 26 vaccines'!C40</f>
        <v>4119767</v>
      </c>
      <c r="M11" s="181">
        <f t="shared" si="0"/>
        <v>1624048.4794358516</v>
      </c>
      <c r="N11" s="181">
        <f t="shared" si="1"/>
        <v>951148.3536369896</v>
      </c>
      <c r="O11" s="181">
        <f t="shared" si="11"/>
        <v>901106.16692715883</v>
      </c>
      <c r="P11" s="181">
        <f t="shared" si="2"/>
        <v>3476303</v>
      </c>
      <c r="Q11" s="189"/>
      <c r="R11" s="191">
        <f t="shared" si="3"/>
        <v>68210036.136305764</v>
      </c>
      <c r="S11" s="191">
        <f t="shared" si="4"/>
        <v>39948230.852753565</v>
      </c>
      <c r="T11" s="191">
        <f t="shared" si="5"/>
        <v>37846459.010940671</v>
      </c>
      <c r="X11" s="73"/>
      <c r="Z11" s="73"/>
      <c r="AA11" s="73"/>
      <c r="AB11" s="73"/>
      <c r="AC11" s="73"/>
      <c r="AD11" s="73"/>
    </row>
    <row r="12" spans="1:30" x14ac:dyDescent="0.35">
      <c r="A12" s="194">
        <v>35</v>
      </c>
      <c r="B12" s="194">
        <v>39</v>
      </c>
      <c r="C12" s="195">
        <f t="shared" si="6"/>
        <v>37</v>
      </c>
      <c r="D12" s="175">
        <f t="shared" si="7"/>
        <v>0.29184238591377226</v>
      </c>
      <c r="E12" s="175">
        <f t="shared" si="8"/>
        <v>0.37767708869705857</v>
      </c>
      <c r="F12" s="175">
        <f t="shared" si="9"/>
        <v>0.66951947461083083</v>
      </c>
      <c r="G12" s="175">
        <f t="shared" si="10"/>
        <v>0.33048052538916922</v>
      </c>
      <c r="H12" s="243">
        <f>'ONS Population Estimates 2021'!B11</f>
        <v>3738209</v>
      </c>
      <c r="I12" s="178">
        <f>'NIMS Week 26 vaccines'!I39</f>
        <v>0.29184238591377226</v>
      </c>
      <c r="J12" s="178">
        <f>'NIMS Week 26 vaccines'!H39</f>
        <v>0.37767708869705857</v>
      </c>
      <c r="K12" s="178">
        <f t="shared" si="12"/>
        <v>0.66951947461083083</v>
      </c>
      <c r="L12" s="179">
        <f>'NIMS Week 26 vaccines'!C39</f>
        <v>4503633</v>
      </c>
      <c r="M12" s="181">
        <f t="shared" si="0"/>
        <v>1090967.8336043367</v>
      </c>
      <c r="N12" s="181">
        <f t="shared" si="1"/>
        <v>1411835.8920611427</v>
      </c>
      <c r="O12" s="181">
        <f t="shared" si="11"/>
        <v>1235405.2743345206</v>
      </c>
      <c r="P12" s="181">
        <f t="shared" si="2"/>
        <v>3738209</v>
      </c>
      <c r="Q12" s="189"/>
      <c r="R12" s="191">
        <f t="shared" si="3"/>
        <v>40365809.843360461</v>
      </c>
      <c r="S12" s="191">
        <f t="shared" si="4"/>
        <v>52237928.00626228</v>
      </c>
      <c r="T12" s="191">
        <f t="shared" si="5"/>
        <v>45709995.150377259</v>
      </c>
      <c r="X12" s="73"/>
      <c r="Z12" s="73"/>
      <c r="AA12" s="73"/>
      <c r="AB12" s="73"/>
      <c r="AC12" s="73"/>
      <c r="AD12" s="73"/>
    </row>
    <row r="13" spans="1:30" x14ac:dyDescent="0.35">
      <c r="A13" s="194">
        <v>30</v>
      </c>
      <c r="B13" s="194">
        <v>34</v>
      </c>
      <c r="C13" s="195">
        <f t="shared" si="6"/>
        <v>32</v>
      </c>
      <c r="D13" s="175">
        <f t="shared" si="7"/>
        <v>0.23078118722404944</v>
      </c>
      <c r="E13" s="175">
        <f t="shared" si="8"/>
        <v>0.37768732475459055</v>
      </c>
      <c r="F13" s="175">
        <f t="shared" si="9"/>
        <v>0.60846851197863994</v>
      </c>
      <c r="G13" s="175">
        <f t="shared" si="10"/>
        <v>0.39153148802135995</v>
      </c>
      <c r="H13" s="243">
        <f>'ONS Population Estimates 2021'!B10</f>
        <v>3824652</v>
      </c>
      <c r="I13" s="178">
        <f>'NIMS Week 26 vaccines'!I38</f>
        <v>0.23078118722404944</v>
      </c>
      <c r="J13" s="178">
        <f>'NIMS Week 26 vaccines'!H38</f>
        <v>0.37768732475459055</v>
      </c>
      <c r="K13" s="178">
        <f t="shared" si="12"/>
        <v>0.60846851197863994</v>
      </c>
      <c r="L13" s="179">
        <f>'NIMS Week 26 vaccines'!C38</f>
        <v>4741565</v>
      </c>
      <c r="M13" s="181">
        <f t="shared" si="0"/>
        <v>882657.72927883512</v>
      </c>
      <c r="N13" s="181">
        <f t="shared" si="1"/>
        <v>1444522.5819972942</v>
      </c>
      <c r="O13" s="181">
        <f t="shared" si="11"/>
        <v>1497471.6887238708</v>
      </c>
      <c r="P13" s="181">
        <f t="shared" si="2"/>
        <v>3824652</v>
      </c>
      <c r="Q13" s="189"/>
      <c r="R13" s="191">
        <f t="shared" si="3"/>
        <v>28245047.336922724</v>
      </c>
      <c r="S13" s="191">
        <f t="shared" si="4"/>
        <v>46224722.623913415</v>
      </c>
      <c r="T13" s="191">
        <f t="shared" si="5"/>
        <v>47919094.039163865</v>
      </c>
      <c r="X13" s="73"/>
      <c r="Z13" s="73"/>
      <c r="AA13" s="73"/>
      <c r="AB13" s="73"/>
      <c r="AC13" s="73"/>
      <c r="AD13" s="73"/>
    </row>
    <row r="14" spans="1:30" x14ac:dyDescent="0.35">
      <c r="A14" s="194">
        <v>25</v>
      </c>
      <c r="B14" s="194">
        <v>29</v>
      </c>
      <c r="C14" s="195">
        <f t="shared" si="6"/>
        <v>27</v>
      </c>
      <c r="D14" s="175">
        <f t="shared" si="7"/>
        <v>0.19092229779266628</v>
      </c>
      <c r="E14" s="175">
        <f t="shared" si="8"/>
        <v>0.36474740297093355</v>
      </c>
      <c r="F14" s="175">
        <f t="shared" si="9"/>
        <v>0.55566970076359978</v>
      </c>
      <c r="G14" s="175">
        <f t="shared" si="10"/>
        <v>0.44433029923640011</v>
      </c>
      <c r="H14" s="243">
        <f>'ONS Population Estimates 2021'!B9</f>
        <v>3771493</v>
      </c>
      <c r="I14" s="178">
        <f>'NIMS Week 26 vaccines'!I37</f>
        <v>0.19092229779266628</v>
      </c>
      <c r="J14" s="178">
        <f>'NIMS Week 26 vaccines'!H37</f>
        <v>0.36474740297093355</v>
      </c>
      <c r="K14" s="178">
        <f t="shared" si="12"/>
        <v>0.55566970076359978</v>
      </c>
      <c r="L14" s="179">
        <f>'NIMS Week 26 vaccines'!C37</f>
        <v>4432950</v>
      </c>
      <c r="M14" s="181">
        <f t="shared" si="0"/>
        <v>720062.10966895637</v>
      </c>
      <c r="N14" s="181">
        <f t="shared" si="1"/>
        <v>1375642.277073055</v>
      </c>
      <c r="O14" s="181">
        <f t="shared" si="11"/>
        <v>1675788.6132579888</v>
      </c>
      <c r="P14" s="181">
        <f t="shared" si="2"/>
        <v>3771493</v>
      </c>
      <c r="Q14" s="189"/>
      <c r="R14" s="191">
        <f t="shared" si="3"/>
        <v>19441676.96106182</v>
      </c>
      <c r="S14" s="191">
        <f t="shared" si="4"/>
        <v>37142341.480972484</v>
      </c>
      <c r="T14" s="191">
        <f t="shared" si="5"/>
        <v>45246292.557965696</v>
      </c>
      <c r="X14" s="73"/>
      <c r="Z14" s="73"/>
      <c r="AA14" s="73"/>
      <c r="AB14" s="73"/>
      <c r="AC14" s="73"/>
      <c r="AD14" s="73"/>
    </row>
    <row r="15" spans="1:30" x14ac:dyDescent="0.35">
      <c r="A15" s="194">
        <v>18</v>
      </c>
      <c r="B15" s="194">
        <v>24</v>
      </c>
      <c r="C15" s="195">
        <f t="shared" si="6"/>
        <v>21</v>
      </c>
      <c r="D15" s="175">
        <f t="shared" si="7"/>
        <v>0.1539140278293345</v>
      </c>
      <c r="E15" s="175">
        <f t="shared" si="8"/>
        <v>0.36107894333299956</v>
      </c>
      <c r="F15" s="175">
        <f t="shared" si="9"/>
        <v>0.514992971162334</v>
      </c>
      <c r="G15" s="175">
        <f t="shared" si="10"/>
        <v>0.48500702883766594</v>
      </c>
      <c r="H15" s="243">
        <f>'ONS Population Estimates 2021'!B8+'ONS Population Estimates 2021'!B7*2/5</f>
        <v>4718870.4000000004</v>
      </c>
      <c r="I15" s="178">
        <f>'NIMS Week 26 vaccines'!I36</f>
        <v>0.1539140278293345</v>
      </c>
      <c r="J15" s="178">
        <f>'NIMS Week 26 vaccines'!H36</f>
        <v>0.36107894333299956</v>
      </c>
      <c r="K15" s="178">
        <f t="shared" si="12"/>
        <v>0.514992971162334</v>
      </c>
      <c r="L15" s="179">
        <f>'NIMS Week 26 vaccines'!C36</f>
        <v>5223481</v>
      </c>
      <c r="M15" s="246">
        <f>I15*'ONS Week 26 deaths'!S8+2/5*I16*'ONS Week 26 deaths'!S7</f>
        <v>540861.00069053145</v>
      </c>
      <c r="N15" s="246">
        <f>J15*'ONS Week 26 deaths'!S8+2/5*J16*'ONS Week 26 deaths'!S7</f>
        <v>1264683.3431211011</v>
      </c>
      <c r="O15" s="181">
        <f t="shared" si="11"/>
        <v>2913326.0561883678</v>
      </c>
      <c r="P15" s="181">
        <f t="shared" si="2"/>
        <v>4718870.4000000004</v>
      </c>
      <c r="Q15" s="189"/>
      <c r="R15" s="191">
        <f t="shared" si="3"/>
        <v>11358081.01450116</v>
      </c>
      <c r="S15" s="191">
        <f t="shared" si="4"/>
        <v>26558350.205543123</v>
      </c>
      <c r="T15" s="191">
        <f t="shared" si="5"/>
        <v>61179847.179955721</v>
      </c>
      <c r="X15" s="73"/>
      <c r="Z15" s="73"/>
      <c r="AA15" s="73"/>
      <c r="AB15" s="73"/>
      <c r="AC15" s="73"/>
      <c r="AD15" s="73"/>
    </row>
    <row r="16" spans="1:30" x14ac:dyDescent="0.35">
      <c r="A16" s="194">
        <v>10</v>
      </c>
      <c r="B16" s="194">
        <v>17</v>
      </c>
      <c r="C16" s="195">
        <f t="shared" si="6"/>
        <v>13.5</v>
      </c>
      <c r="D16" s="175">
        <f t="shared" si="7"/>
        <v>5.127902394350692E-3</v>
      </c>
      <c r="E16" s="175">
        <f t="shared" si="8"/>
        <v>8.6883961663584714E-3</v>
      </c>
      <c r="F16" s="175">
        <f t="shared" si="9"/>
        <v>1.3816298560709164E-2</v>
      </c>
      <c r="G16" s="175">
        <f t="shared" si="10"/>
        <v>0.98618370143929079</v>
      </c>
      <c r="H16" s="243">
        <f>'ONS Population Estimates 2021'!B6+3/5*'ONS Population Estimates 2021'!B7</f>
        <v>5305101.5999999996</v>
      </c>
      <c r="I16" s="178">
        <f>'NIMS Week 26 vaccines'!I35</f>
        <v>5.127902394350692E-3</v>
      </c>
      <c r="J16" s="178">
        <f>'NIMS Week 26 vaccines'!H35</f>
        <v>8.6883961663584714E-3</v>
      </c>
      <c r="K16" s="178">
        <f t="shared" si="12"/>
        <v>1.3816298560709164E-2</v>
      </c>
      <c r="L16" s="294">
        <f>'NIMS Week 26 vaccines'!C35</f>
        <v>12535340</v>
      </c>
      <c r="M16" s="181">
        <f>D16*H16</f>
        <v>27204.043196913684</v>
      </c>
      <c r="N16" s="181">
        <f>E16*H16</f>
        <v>46092.824403582192</v>
      </c>
      <c r="O16" s="181">
        <f t="shared" si="11"/>
        <v>5231804.7323995037</v>
      </c>
      <c r="P16" s="181">
        <f t="shared" si="2"/>
        <v>5305101.5999999996</v>
      </c>
      <c r="Q16" s="189"/>
      <c r="R16" s="191">
        <f t="shared" si="3"/>
        <v>367254.58315833472</v>
      </c>
      <c r="S16" s="191">
        <f t="shared" si="4"/>
        <v>622253.1294483596</v>
      </c>
      <c r="T16" s="191">
        <f t="shared" si="5"/>
        <v>70629363.887393296</v>
      </c>
      <c r="X16" s="73"/>
      <c r="Z16" s="73"/>
      <c r="AA16" s="73"/>
      <c r="AB16" s="73"/>
      <c r="AC16" s="73"/>
      <c r="AD16" s="73"/>
    </row>
    <row r="17" spans="1:30" x14ac:dyDescent="0.35">
      <c r="A17" s="194">
        <v>0</v>
      </c>
      <c r="B17" s="194">
        <v>9</v>
      </c>
      <c r="C17" s="195">
        <f t="shared" si="6"/>
        <v>4.5</v>
      </c>
      <c r="D17" s="175">
        <f>D16</f>
        <v>5.127902394350692E-3</v>
      </c>
      <c r="E17" s="175">
        <f>E16</f>
        <v>8.6883961663584714E-3</v>
      </c>
      <c r="F17" s="175">
        <f>F16</f>
        <v>1.3816298560709164E-2</v>
      </c>
      <c r="G17" s="175">
        <f t="shared" si="10"/>
        <v>0.98618370143929079</v>
      </c>
      <c r="H17" s="243">
        <f>'ONS Population Estimates 2021'!B4+'ONS Population Estimates 2021'!B5</f>
        <v>6778905</v>
      </c>
      <c r="I17" s="178">
        <f>D17</f>
        <v>5.127902394350692E-3</v>
      </c>
      <c r="J17" s="178">
        <f>E17</f>
        <v>8.6883961663584714E-3</v>
      </c>
      <c r="K17" s="178">
        <f>F17</f>
        <v>1.3816298560709164E-2</v>
      </c>
      <c r="L17" s="295"/>
      <c r="M17" s="181">
        <f>D17*H17</f>
        <v>34761.563180575875</v>
      </c>
      <c r="N17" s="181">
        <f>E17*H17</f>
        <v>58897.812214108271</v>
      </c>
      <c r="O17" s="181">
        <f t="shared" ref="O17" si="13">P17-M17-N17</f>
        <v>6685245.6246053157</v>
      </c>
      <c r="P17" s="181">
        <f t="shared" si="2"/>
        <v>6778905</v>
      </c>
      <c r="Q17" s="189"/>
      <c r="R17" s="191">
        <f t="shared" si="3"/>
        <v>156427.03431259142</v>
      </c>
      <c r="S17" s="191">
        <f t="shared" si="4"/>
        <v>265040.15496348724</v>
      </c>
      <c r="T17" s="191">
        <f t="shared" si="5"/>
        <v>30083605.310723919</v>
      </c>
      <c r="X17" s="73"/>
      <c r="Z17" s="73"/>
      <c r="AA17" s="73"/>
      <c r="AB17" s="73"/>
      <c r="AC17" s="73"/>
      <c r="AD17" s="73"/>
    </row>
    <row r="18" spans="1:30" x14ac:dyDescent="0.35">
      <c r="D18" s="174" t="s">
        <v>110</v>
      </c>
      <c r="E18" s="86"/>
      <c r="F18" s="86"/>
      <c r="G18" s="86"/>
      <c r="H18" s="244">
        <f>SUM(H3:H16)</f>
        <v>49771233</v>
      </c>
      <c r="I18" s="178"/>
      <c r="J18" s="178"/>
      <c r="K18" s="178"/>
      <c r="L18" s="180">
        <f>L19-L16</f>
        <v>49406131</v>
      </c>
      <c r="M18" s="182">
        <f>SUM(M3:M17)</f>
        <v>25902290.966662083</v>
      </c>
      <c r="N18" s="182">
        <f>SUM(N3:N17)</f>
        <v>7868821.1077174516</v>
      </c>
      <c r="O18" s="182">
        <f>SUM(O3:O17)</f>
        <v>22779025.925620463</v>
      </c>
      <c r="P18" s="182">
        <f>SUM(P3:P17)</f>
        <v>56550138</v>
      </c>
      <c r="Q18" s="190" t="s">
        <v>236</v>
      </c>
      <c r="R18" s="192">
        <f>SUM(R3:R17)/M23</f>
        <v>59.136623212330292</v>
      </c>
      <c r="S18" s="192">
        <f>SUM(S3:S17)/N23</f>
        <v>35.160467616847107</v>
      </c>
      <c r="T18" s="192">
        <f>SUM(T3:T17)/O23</f>
        <v>30.541975062243704</v>
      </c>
      <c r="X18" s="73"/>
      <c r="Z18" s="73"/>
      <c r="AA18" s="73"/>
      <c r="AB18" s="73"/>
      <c r="AC18" s="73"/>
      <c r="AD18" s="73"/>
    </row>
    <row r="19" spans="1:30" x14ac:dyDescent="0.35">
      <c r="D19" s="174" t="s">
        <v>105</v>
      </c>
      <c r="E19" s="86"/>
      <c r="F19" s="86"/>
      <c r="G19" s="86"/>
      <c r="H19" s="244">
        <f>SUM(H3:H17)</f>
        <v>56550138</v>
      </c>
      <c r="I19" s="178"/>
      <c r="J19" s="178"/>
      <c r="K19" s="178"/>
      <c r="L19" s="180">
        <f>SUM(L3:L16)</f>
        <v>61941471</v>
      </c>
      <c r="M19" s="181"/>
      <c r="N19" s="181"/>
      <c r="O19" s="181"/>
      <c r="P19" s="181"/>
      <c r="Q19" s="190" t="s">
        <v>237</v>
      </c>
      <c r="R19" s="190">
        <v>59</v>
      </c>
      <c r="S19" s="193">
        <v>33</v>
      </c>
      <c r="T19" s="190">
        <v>21</v>
      </c>
      <c r="X19" s="73"/>
      <c r="Z19" s="73"/>
      <c r="AA19" s="73"/>
      <c r="AB19" s="73"/>
      <c r="AC19" s="73"/>
      <c r="AD19" s="73"/>
    </row>
    <row r="20" spans="1:30" x14ac:dyDescent="0.35">
      <c r="I20" s="73"/>
      <c r="J20" s="73"/>
    </row>
    <row r="21" spans="1:30" x14ac:dyDescent="0.35">
      <c r="I21" s="73"/>
      <c r="J21" s="87"/>
      <c r="K21" s="87"/>
      <c r="L21" s="87"/>
      <c r="M21" s="291" t="s">
        <v>240</v>
      </c>
      <c r="N21" s="288"/>
      <c r="O21" s="288"/>
      <c r="P21" s="288"/>
      <c r="X21" s="73"/>
    </row>
    <row r="22" spans="1:30" x14ac:dyDescent="0.35">
      <c r="I22" s="73"/>
      <c r="J22" s="87"/>
      <c r="K22" s="87"/>
      <c r="L22" s="87"/>
      <c r="M22" s="183" t="str">
        <f>M2</f>
        <v>2 dose</v>
      </c>
      <c r="N22" s="183" t="str">
        <f>N2</f>
        <v>1 dose</v>
      </c>
      <c r="O22" s="183" t="str">
        <f>O2</f>
        <v>Unvaccinated</v>
      </c>
      <c r="P22" s="184" t="s">
        <v>105</v>
      </c>
      <c r="Q22" s="82"/>
      <c r="S22" s="89"/>
      <c r="AA22" s="73"/>
      <c r="AB22" s="73"/>
      <c r="AC22" s="73"/>
    </row>
    <row r="23" spans="1:30" x14ac:dyDescent="0.35">
      <c r="I23" s="73"/>
      <c r="J23" s="185" t="s">
        <v>234</v>
      </c>
      <c r="K23" s="87"/>
      <c r="L23" s="87"/>
      <c r="M23" s="186">
        <f>SUM(M3:M16)</f>
        <v>25867529.403481506</v>
      </c>
      <c r="N23" s="186">
        <f>SUM(N3:N16)</f>
        <v>7809923.2955033435</v>
      </c>
      <c r="O23" s="186">
        <f>SUM(O3:O16)</f>
        <v>16093780.301015146</v>
      </c>
      <c r="P23" s="186">
        <f>SUM(M23:O23)</f>
        <v>49771232.999999993</v>
      </c>
      <c r="Q23" s="82"/>
    </row>
    <row r="24" spans="1:30" x14ac:dyDescent="0.35">
      <c r="J24" s="185"/>
      <c r="K24" s="87"/>
      <c r="L24" s="87"/>
      <c r="M24" s="87"/>
      <c r="N24" s="87"/>
      <c r="O24" s="87"/>
      <c r="P24" s="87"/>
      <c r="AA24" s="100"/>
      <c r="AB24" s="100"/>
      <c r="AD24" s="100"/>
    </row>
    <row r="25" spans="1:30" x14ac:dyDescent="0.35">
      <c r="J25" s="185" t="s">
        <v>235</v>
      </c>
      <c r="K25" s="87"/>
      <c r="L25" s="87"/>
      <c r="M25" s="188">
        <v>23309568</v>
      </c>
      <c r="N25" s="188">
        <v>9531364</v>
      </c>
      <c r="O25" s="188">
        <f>'ONS Table 5'!L31+'ONS Table 5'!S31</f>
        <v>6404395</v>
      </c>
      <c r="P25" s="188">
        <f>SUM(M25:O25)</f>
        <v>39245327</v>
      </c>
    </row>
    <row r="26" spans="1:30" ht="15" customHeight="1" x14ac:dyDescent="0.35">
      <c r="J26" s="185"/>
      <c r="K26" s="87"/>
      <c r="L26" s="87"/>
      <c r="M26" s="87"/>
      <c r="N26" s="87"/>
      <c r="O26" s="87"/>
      <c r="P26" s="87"/>
    </row>
    <row r="27" spans="1:30" x14ac:dyDescent="0.35">
      <c r="J27" s="185" t="s">
        <v>241</v>
      </c>
      <c r="K27" s="87"/>
      <c r="L27" s="87"/>
      <c r="M27" s="188">
        <f>M23/$P$23*$P$25</f>
        <v>20396915.827296197</v>
      </c>
      <c r="N27" s="188">
        <f>N23/$P$23*$P$25</f>
        <v>6158235.8945567291</v>
      </c>
      <c r="O27" s="188">
        <f>O23/$P$23*$P$25</f>
        <v>12690175.278147077</v>
      </c>
      <c r="P27" s="186">
        <f>SUM(M27:O27)</f>
        <v>39245327.000000007</v>
      </c>
    </row>
    <row r="28" spans="1:30" x14ac:dyDescent="0.35">
      <c r="J28" s="87"/>
      <c r="K28" s="87"/>
      <c r="L28" s="87"/>
      <c r="M28" s="188"/>
      <c r="N28" s="188"/>
      <c r="O28" s="188"/>
      <c r="P28" s="188"/>
    </row>
    <row r="29" spans="1:30" x14ac:dyDescent="0.35">
      <c r="L29" s="252" t="s">
        <v>278</v>
      </c>
      <c r="M29" s="253">
        <f>M27-M25</f>
        <v>-2912652.1727038026</v>
      </c>
      <c r="N29" s="253">
        <f t="shared" ref="N29" si="14">N27-N25</f>
        <v>-3373128.1054432709</v>
      </c>
      <c r="O29" s="253">
        <f>O27-O25</f>
        <v>6285780.2781470772</v>
      </c>
    </row>
    <row r="31" spans="1:30" x14ac:dyDescent="0.35">
      <c r="J31" s="1" t="s">
        <v>267</v>
      </c>
    </row>
    <row r="33" spans="1:4" ht="15.5" x14ac:dyDescent="0.35">
      <c r="B33" s="98"/>
      <c r="C33" s="99"/>
      <c r="D33" s="245"/>
    </row>
    <row r="34" spans="1:4" ht="15.5" x14ac:dyDescent="0.35">
      <c r="B34" s="96"/>
      <c r="C34" s="97"/>
    </row>
    <row r="39" spans="1:4" ht="15.5" x14ac:dyDescent="0.35">
      <c r="A39" s="96"/>
    </row>
    <row r="40" spans="1:4" ht="15.5" x14ac:dyDescent="0.35">
      <c r="A40" s="96"/>
    </row>
    <row r="41" spans="1:4" ht="15.5" x14ac:dyDescent="0.35">
      <c r="A41" s="96"/>
    </row>
    <row r="42" spans="1:4" ht="15.5" x14ac:dyDescent="0.35">
      <c r="A42" s="98"/>
    </row>
    <row r="43" spans="1:4" ht="15.5" x14ac:dyDescent="0.35">
      <c r="A43" s="96"/>
    </row>
    <row r="44" spans="1:4" ht="15.5" x14ac:dyDescent="0.35">
      <c r="A44" s="96"/>
    </row>
  </sheetData>
  <mergeCells count="6">
    <mergeCell ref="D1:F1"/>
    <mergeCell ref="R1:T1"/>
    <mergeCell ref="M21:P21"/>
    <mergeCell ref="I1:L1"/>
    <mergeCell ref="L16:L17"/>
    <mergeCell ref="M1:P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9B70-5E08-4748-94FA-020ECC697636}">
  <dimension ref="A1:R46"/>
  <sheetViews>
    <sheetView topLeftCell="F1" zoomScale="115" zoomScaleNormal="115" workbookViewId="0">
      <selection activeCell="P28" sqref="P28"/>
    </sheetView>
  </sheetViews>
  <sheetFormatPr defaultRowHeight="14.5" x14ac:dyDescent="0.35"/>
  <cols>
    <col min="1" max="1" width="15.7265625" style="1" customWidth="1"/>
    <col min="2" max="2" width="10" style="1" customWidth="1"/>
    <col min="3" max="6" width="15.7265625" customWidth="1"/>
    <col min="7" max="7" width="16" customWidth="1"/>
    <col min="8" max="8" width="20.26953125" customWidth="1"/>
    <col min="9" max="10" width="15.7265625" customWidth="1"/>
    <col min="11" max="11" width="12.81640625" customWidth="1"/>
    <col min="12" max="13" width="19.1796875" customWidth="1"/>
    <col min="14" max="16" width="18.26953125" customWidth="1"/>
  </cols>
  <sheetData>
    <row r="1" spans="1:16" x14ac:dyDescent="0.35">
      <c r="A1" s="166"/>
      <c r="B1" s="166"/>
      <c r="C1" s="134"/>
      <c r="D1" s="134"/>
      <c r="E1" s="134"/>
      <c r="F1" s="286" t="s">
        <v>13</v>
      </c>
      <c r="G1" s="286"/>
      <c r="H1" s="286"/>
      <c r="I1" s="286"/>
      <c r="J1" s="292" t="s">
        <v>243</v>
      </c>
      <c r="K1" s="293"/>
      <c r="L1" s="293"/>
      <c r="M1" s="298" t="s">
        <v>242</v>
      </c>
      <c r="N1" s="291" t="s">
        <v>258</v>
      </c>
      <c r="O1" s="300"/>
      <c r="P1" s="300"/>
    </row>
    <row r="2" spans="1:16" x14ac:dyDescent="0.35">
      <c r="A2" s="238" t="s">
        <v>134</v>
      </c>
      <c r="B2" s="238" t="s">
        <v>135</v>
      </c>
      <c r="C2" s="239" t="s">
        <v>134</v>
      </c>
      <c r="D2" s="239" t="s">
        <v>135</v>
      </c>
      <c r="E2" s="239" t="s">
        <v>217</v>
      </c>
      <c r="F2" s="198" t="s">
        <v>106</v>
      </c>
      <c r="G2" s="198" t="s">
        <v>103</v>
      </c>
      <c r="H2" s="198" t="s">
        <v>7</v>
      </c>
      <c r="I2" s="198" t="s">
        <v>105</v>
      </c>
      <c r="J2" s="196" t="s">
        <v>106</v>
      </c>
      <c r="K2" s="196" t="s">
        <v>103</v>
      </c>
      <c r="L2" s="196" t="s">
        <v>7</v>
      </c>
      <c r="M2" s="299"/>
      <c r="N2" s="184" t="s">
        <v>106</v>
      </c>
      <c r="O2" s="184" t="s">
        <v>103</v>
      </c>
      <c r="P2" s="184" t="s">
        <v>7</v>
      </c>
    </row>
    <row r="3" spans="1:16" x14ac:dyDescent="0.35">
      <c r="A3" s="237">
        <v>80</v>
      </c>
      <c r="B3" s="237">
        <v>100</v>
      </c>
      <c r="C3" s="194">
        <v>80</v>
      </c>
      <c r="D3" s="194">
        <v>100</v>
      </c>
      <c r="E3" s="195">
        <f>(D3-C3)/2+C3</f>
        <v>90</v>
      </c>
      <c r="F3" s="199">
        <f>'Population vaccinated'!N3</f>
        <v>60943.67874296457</v>
      </c>
      <c r="G3" s="199">
        <f>'Population vaccinated'!M3</f>
        <v>2658671.9387009977</v>
      </c>
      <c r="H3" s="199">
        <f>'Population vaccinated'!O3</f>
        <v>135983.38255603769</v>
      </c>
      <c r="I3" s="199">
        <f t="shared" ref="I3:I17" si="0">SUM(F3:H3)</f>
        <v>2855599</v>
      </c>
      <c r="J3" s="179">
        <f t="shared" ref="J3:J14" si="1">F3/I3*M3</f>
        <v>92.658797968690152</v>
      </c>
      <c r="K3" s="179">
        <f t="shared" ref="K3:K14" si="2">G3/I3*M3</f>
        <v>4042.246072346928</v>
      </c>
      <c r="L3" s="179">
        <f t="shared" ref="L3:L14" si="3">H3/I3*M3</f>
        <v>206.74919911712041</v>
      </c>
      <c r="M3" s="131">
        <f>SUM('ONS Week 26 deaths'!H20:H22)</f>
        <v>4341.6540694327387</v>
      </c>
      <c r="N3" s="88">
        <f t="shared" ref="N3:N16" si="4">$J$23/$J$17*J3</f>
        <v>187.85463295818425</v>
      </c>
      <c r="O3" s="88">
        <f t="shared" ref="O3:O16" si="5">$K$23/$K$17*K3</f>
        <v>3239.8053438172219</v>
      </c>
      <c r="P3" s="88">
        <f t="shared" ref="P3:P16" si="6">$L$23/$L$17*L3</f>
        <v>149.19167862422614</v>
      </c>
    </row>
    <row r="4" spans="1:16" x14ac:dyDescent="0.35">
      <c r="A4" s="237">
        <v>75</v>
      </c>
      <c r="B4" s="237">
        <v>79</v>
      </c>
      <c r="C4" s="194">
        <v>75</v>
      </c>
      <c r="D4" s="194">
        <v>79</v>
      </c>
      <c r="E4" s="195">
        <f t="shared" ref="E4:E16" si="7">(D4-C4)/2+C4</f>
        <v>77</v>
      </c>
      <c r="F4" s="199">
        <f>'Population vaccinated'!N4</f>
        <v>27486.169421644619</v>
      </c>
      <c r="G4" s="199">
        <f>'Population vaccinated'!M4</f>
        <v>1890241.3986229519</v>
      </c>
      <c r="H4" s="199">
        <f>'Population vaccinated'!O4</f>
        <v>92264.431955403445</v>
      </c>
      <c r="I4" s="199">
        <f t="shared" si="0"/>
        <v>2009992</v>
      </c>
      <c r="J4" s="179">
        <f t="shared" si="1"/>
        <v>15.085568900263949</v>
      </c>
      <c r="K4" s="179">
        <f t="shared" si="2"/>
        <v>1037.444193100358</v>
      </c>
      <c r="L4" s="179">
        <f t="shared" si="3"/>
        <v>50.638611148590968</v>
      </c>
      <c r="M4" s="131">
        <f>'ONS Week 26 deaths'!H19</f>
        <v>1103.1683731492128</v>
      </c>
      <c r="N4" s="88">
        <f t="shared" si="4"/>
        <v>30.584187048077936</v>
      </c>
      <c r="O4" s="88">
        <f t="shared" si="5"/>
        <v>831.49743498104783</v>
      </c>
      <c r="P4" s="88">
        <f t="shared" si="6"/>
        <v>36.541178552174323</v>
      </c>
    </row>
    <row r="5" spans="1:16" x14ac:dyDescent="0.35">
      <c r="A5" s="237">
        <v>70</v>
      </c>
      <c r="B5" s="237">
        <v>74</v>
      </c>
      <c r="C5" s="194">
        <v>70</v>
      </c>
      <c r="D5" s="194">
        <v>74</v>
      </c>
      <c r="E5" s="195">
        <f t="shared" si="7"/>
        <v>72</v>
      </c>
      <c r="F5" s="199">
        <f>'Population vaccinated'!N5</f>
        <v>40540.397597092895</v>
      </c>
      <c r="G5" s="199">
        <f>'Population vaccinated'!M5</f>
        <v>2615951.834479705</v>
      </c>
      <c r="H5" s="199">
        <f>'Population vaccinated'!O5</f>
        <v>157635.76792320213</v>
      </c>
      <c r="I5" s="199">
        <f t="shared" si="0"/>
        <v>2814128</v>
      </c>
      <c r="J5" s="179">
        <f t="shared" si="1"/>
        <v>12.836589611228948</v>
      </c>
      <c r="K5" s="179">
        <f t="shared" si="2"/>
        <v>828.30712406149337</v>
      </c>
      <c r="L5" s="179">
        <f t="shared" si="3"/>
        <v>49.9133156263415</v>
      </c>
      <c r="M5" s="131">
        <f>'ONS Week 26 deaths'!H18</f>
        <v>891.05702929906374</v>
      </c>
      <c r="N5" s="88">
        <f t="shared" si="4"/>
        <v>26.024650467266834</v>
      </c>
      <c r="O5" s="88">
        <f t="shared" si="5"/>
        <v>663.87691368284993</v>
      </c>
      <c r="P5" s="88">
        <f t="shared" si="6"/>
        <v>36.017800193635992</v>
      </c>
    </row>
    <row r="6" spans="1:16" s="1" customFormat="1" x14ac:dyDescent="0.35">
      <c r="A6" s="237">
        <v>65</v>
      </c>
      <c r="B6" s="237">
        <v>69</v>
      </c>
      <c r="C6" s="194">
        <v>65</v>
      </c>
      <c r="D6" s="194">
        <v>69</v>
      </c>
      <c r="E6" s="195">
        <f t="shared" si="7"/>
        <v>67</v>
      </c>
      <c r="F6" s="199">
        <f>'Population vaccinated'!N6</f>
        <v>57175.849291480081</v>
      </c>
      <c r="G6" s="199">
        <f>'Population vaccinated'!M6</f>
        <v>2508814.9613139853</v>
      </c>
      <c r="H6" s="199">
        <f>'Population vaccinated'!O6</f>
        <v>218309.18939453462</v>
      </c>
      <c r="I6" s="199">
        <f t="shared" si="0"/>
        <v>2784300</v>
      </c>
      <c r="J6" s="179">
        <f t="shared" si="1"/>
        <v>11.025429916722157</v>
      </c>
      <c r="K6" s="179">
        <f t="shared" si="2"/>
        <v>483.78404296152985</v>
      </c>
      <c r="L6" s="179">
        <f t="shared" si="3"/>
        <v>42.097366242437808</v>
      </c>
      <c r="M6" s="131">
        <f>'ONS Week 26 deaths'!H17</f>
        <v>536.90683912068982</v>
      </c>
      <c r="N6" s="88">
        <f t="shared" si="4"/>
        <v>22.352740760913882</v>
      </c>
      <c r="O6" s="88">
        <f t="shared" si="5"/>
        <v>387.74634190695178</v>
      </c>
      <c r="P6" s="88">
        <f t="shared" si="6"/>
        <v>30.377756055104584</v>
      </c>
    </row>
    <row r="7" spans="1:16" s="1" customFormat="1" x14ac:dyDescent="0.35">
      <c r="A7" s="237">
        <v>60</v>
      </c>
      <c r="B7" s="237">
        <v>64</v>
      </c>
      <c r="C7" s="194">
        <v>60</v>
      </c>
      <c r="D7" s="194">
        <v>64</v>
      </c>
      <c r="E7" s="195">
        <f t="shared" si="7"/>
        <v>62</v>
      </c>
      <c r="F7" s="199">
        <f>'Population vaccinated'!N7</f>
        <v>106094.07928242469</v>
      </c>
      <c r="G7" s="199">
        <f>'Population vaccinated'!M7</f>
        <v>2776152.8113941345</v>
      </c>
      <c r="H7" s="199">
        <f>'Population vaccinated'!O7</f>
        <v>314566.10932344076</v>
      </c>
      <c r="I7" s="199">
        <f t="shared" si="0"/>
        <v>3196813</v>
      </c>
      <c r="J7" s="179">
        <f t="shared" si="1"/>
        <v>15.147355945941277</v>
      </c>
      <c r="K7" s="179">
        <f t="shared" si="2"/>
        <v>396.35929807704804</v>
      </c>
      <c r="L7" s="179">
        <f t="shared" si="3"/>
        <v>44.911505511706416</v>
      </c>
      <c r="M7" s="131">
        <f>'ONS Week 26 deaths'!H16</f>
        <v>456.41815953469575</v>
      </c>
      <c r="N7" s="88">
        <f t="shared" si="4"/>
        <v>30.709452894837646</v>
      </c>
      <c r="O7" s="88">
        <f t="shared" si="5"/>
        <v>317.67659588227372</v>
      </c>
      <c r="P7" s="88">
        <f t="shared" si="6"/>
        <v>32.408458777327468</v>
      </c>
    </row>
    <row r="8" spans="1:16" s="1" customFormat="1" x14ac:dyDescent="0.35">
      <c r="A8" s="237">
        <v>55</v>
      </c>
      <c r="B8" s="237">
        <v>59</v>
      </c>
      <c r="C8" s="194">
        <v>55</v>
      </c>
      <c r="D8" s="194">
        <v>59</v>
      </c>
      <c r="E8" s="195">
        <f t="shared" si="7"/>
        <v>57</v>
      </c>
      <c r="F8" s="199">
        <f>'Population vaccinated'!N8</f>
        <v>158455.69777983462</v>
      </c>
      <c r="G8" s="199">
        <f>'Population vaccinated'!M8</f>
        <v>3158481.1973277237</v>
      </c>
      <c r="H8" s="199">
        <f>'Population vaccinated'!O8</f>
        <v>444845.10489244165</v>
      </c>
      <c r="I8" s="199">
        <f t="shared" si="0"/>
        <v>3761782</v>
      </c>
      <c r="J8" s="179">
        <f t="shared" si="1"/>
        <v>14.11995704057399</v>
      </c>
      <c r="K8" s="179">
        <f t="shared" si="2"/>
        <v>281.45165774785875</v>
      </c>
      <c r="L8" s="179">
        <f t="shared" si="3"/>
        <v>39.640062546177894</v>
      </c>
      <c r="M8" s="131">
        <f>'ONS Week 26 deaths'!H15</f>
        <v>335.21167733461061</v>
      </c>
      <c r="N8" s="88">
        <f t="shared" si="4"/>
        <v>28.626524468174608</v>
      </c>
      <c r="O8" s="88">
        <f t="shared" si="5"/>
        <v>225.57968230477104</v>
      </c>
      <c r="P8" s="88">
        <f t="shared" si="6"/>
        <v>28.604548396259659</v>
      </c>
    </row>
    <row r="9" spans="1:16" x14ac:dyDescent="0.35">
      <c r="A9" s="237">
        <v>50</v>
      </c>
      <c r="B9" s="237">
        <v>54</v>
      </c>
      <c r="C9" s="194">
        <v>50</v>
      </c>
      <c r="D9" s="194">
        <v>54</v>
      </c>
      <c r="E9" s="195">
        <f t="shared" si="7"/>
        <v>52</v>
      </c>
      <c r="F9" s="199">
        <f>'Population vaccinated'!N9</f>
        <v>194324.64309633081</v>
      </c>
      <c r="G9" s="199">
        <f>'Population vaccinated'!M9</f>
        <v>3120089.3090318805</v>
      </c>
      <c r="H9" s="199">
        <f>'Population vaccinated'!O9</f>
        <v>560937.04787178873</v>
      </c>
      <c r="I9" s="199">
        <f t="shared" si="0"/>
        <v>3875351</v>
      </c>
      <c r="J9" s="179">
        <f t="shared" si="1"/>
        <v>10.493611605243597</v>
      </c>
      <c r="K9" s="179">
        <f t="shared" si="2"/>
        <v>168.48612127090342</v>
      </c>
      <c r="L9" s="179">
        <f t="shared" si="3"/>
        <v>30.290834047437539</v>
      </c>
      <c r="M9" s="131">
        <f>'ONS Week 26 deaths'!H14</f>
        <v>209.27056692358457</v>
      </c>
      <c r="N9" s="88">
        <f t="shared" si="4"/>
        <v>21.274542727986621</v>
      </c>
      <c r="O9" s="88">
        <f t="shared" si="5"/>
        <v>135.03933859612405</v>
      </c>
      <c r="P9" s="88">
        <f t="shared" si="6"/>
        <v>21.85807924656115</v>
      </c>
    </row>
    <row r="10" spans="1:16" x14ac:dyDescent="0.35">
      <c r="A10" s="237">
        <v>45</v>
      </c>
      <c r="B10" s="237">
        <v>49</v>
      </c>
      <c r="C10" s="194">
        <v>45</v>
      </c>
      <c r="D10" s="194">
        <v>49</v>
      </c>
      <c r="E10" s="195">
        <f t="shared" si="7"/>
        <v>47</v>
      </c>
      <c r="F10" s="199">
        <f>'Population vaccinated'!N10</f>
        <v>670977.50799840526</v>
      </c>
      <c r="G10" s="199">
        <f>'Population vaccinated'!M10</f>
        <v>2253324.7567347055</v>
      </c>
      <c r="H10" s="199">
        <f>'Population vaccinated'!O10</f>
        <v>714336.73526688921</v>
      </c>
      <c r="I10" s="199">
        <f t="shared" si="0"/>
        <v>3638639</v>
      </c>
      <c r="J10" s="179">
        <f t="shared" si="1"/>
        <v>27.763997312505467</v>
      </c>
      <c r="K10" s="179">
        <f t="shared" si="2"/>
        <v>93.239045637775831</v>
      </c>
      <c r="L10" s="179">
        <f t="shared" si="3"/>
        <v>29.558134157637038</v>
      </c>
      <c r="M10" s="131">
        <f>'ONS Week 26 deaths'!H13</f>
        <v>150.56117710791833</v>
      </c>
      <c r="N10" s="88">
        <f t="shared" si="4"/>
        <v>56.288184596945698</v>
      </c>
      <c r="O10" s="88">
        <f t="shared" si="5"/>
        <v>74.729829135389181</v>
      </c>
      <c r="P10" s="88">
        <f t="shared" si="6"/>
        <v>21.329357844234469</v>
      </c>
    </row>
    <row r="11" spans="1:16" x14ac:dyDescent="0.35">
      <c r="A11" s="237">
        <v>40</v>
      </c>
      <c r="B11" s="237">
        <v>44</v>
      </c>
      <c r="C11" s="194">
        <v>40</v>
      </c>
      <c r="D11" s="194">
        <v>44</v>
      </c>
      <c r="E11" s="195">
        <f t="shared" si="7"/>
        <v>42</v>
      </c>
      <c r="F11" s="199">
        <f>'Population vaccinated'!N11</f>
        <v>951148.3536369896</v>
      </c>
      <c r="G11" s="199">
        <f>'Population vaccinated'!M11</f>
        <v>1624048.4794358516</v>
      </c>
      <c r="H11" s="199">
        <f>'Population vaccinated'!O11</f>
        <v>901106.16692715883</v>
      </c>
      <c r="I11" s="199">
        <f t="shared" si="0"/>
        <v>3476303</v>
      </c>
      <c r="J11" s="179">
        <f t="shared" si="1"/>
        <v>28.49962854625489</v>
      </c>
      <c r="K11" s="179">
        <f t="shared" si="2"/>
        <v>48.661997077583813</v>
      </c>
      <c r="L11" s="179">
        <f t="shared" si="3"/>
        <v>27.000195016859514</v>
      </c>
      <c r="M11" s="131">
        <f>'ONS Week 26 deaths'!H12</f>
        <v>104.16182064069821</v>
      </c>
      <c r="N11" s="88">
        <f t="shared" si="4"/>
        <v>57.779588958302405</v>
      </c>
      <c r="O11" s="88">
        <f t="shared" si="5"/>
        <v>39.001929954560964</v>
      </c>
      <c r="P11" s="88">
        <f t="shared" si="6"/>
        <v>19.483530939652237</v>
      </c>
    </row>
    <row r="12" spans="1:16" x14ac:dyDescent="0.35">
      <c r="A12" s="237">
        <v>35</v>
      </c>
      <c r="B12" s="237">
        <v>39</v>
      </c>
      <c r="C12" s="194">
        <v>35</v>
      </c>
      <c r="D12" s="194">
        <v>39</v>
      </c>
      <c r="E12" s="195">
        <f t="shared" si="7"/>
        <v>37</v>
      </c>
      <c r="F12" s="199">
        <f>'Population vaccinated'!N12</f>
        <v>1411835.8920611427</v>
      </c>
      <c r="G12" s="199">
        <f>'Population vaccinated'!M12</f>
        <v>1090967.8336043367</v>
      </c>
      <c r="H12" s="199">
        <f>'Population vaccinated'!O12</f>
        <v>1235405.2743345206</v>
      </c>
      <c r="I12" s="199">
        <f t="shared" si="0"/>
        <v>3738209</v>
      </c>
      <c r="J12" s="179">
        <f t="shared" si="1"/>
        <v>24.676616263041108</v>
      </c>
      <c r="K12" s="179">
        <f t="shared" si="2"/>
        <v>19.068359670239641</v>
      </c>
      <c r="L12" s="179">
        <f t="shared" si="3"/>
        <v>21.592893377702669</v>
      </c>
      <c r="M12" s="131">
        <f>'ONS Week 26 deaths'!H11</f>
        <v>65.337869310983422</v>
      </c>
      <c r="N12" s="88">
        <f t="shared" si="4"/>
        <v>50.028888700994635</v>
      </c>
      <c r="O12" s="88">
        <f t="shared" si="5"/>
        <v>15.283031377058895</v>
      </c>
      <c r="P12" s="88">
        <f t="shared" si="6"/>
        <v>15.581583982574346</v>
      </c>
    </row>
    <row r="13" spans="1:16" x14ac:dyDescent="0.35">
      <c r="A13" s="237">
        <v>30</v>
      </c>
      <c r="B13" s="237">
        <v>34</v>
      </c>
      <c r="C13" s="194">
        <v>30</v>
      </c>
      <c r="D13" s="194">
        <v>34</v>
      </c>
      <c r="E13" s="195">
        <f t="shared" si="7"/>
        <v>32</v>
      </c>
      <c r="F13" s="199">
        <f>'Population vaccinated'!N13</f>
        <v>1444522.5819972942</v>
      </c>
      <c r="G13" s="199">
        <f>'Population vaccinated'!M13</f>
        <v>882657.72927883512</v>
      </c>
      <c r="H13" s="199">
        <f>'Population vaccinated'!O13</f>
        <v>1497471.6887238708</v>
      </c>
      <c r="I13" s="199">
        <f t="shared" si="0"/>
        <v>3824652</v>
      </c>
      <c r="J13" s="179">
        <f t="shared" si="1"/>
        <v>15.378597939201549</v>
      </c>
      <c r="K13" s="179">
        <f t="shared" si="2"/>
        <v>9.3969028284344525</v>
      </c>
      <c r="L13" s="179">
        <f t="shared" si="3"/>
        <v>15.942301846455122</v>
      </c>
      <c r="M13" s="131">
        <f>'ONS Week 26 deaths'!H10</f>
        <v>40.71780261409112</v>
      </c>
      <c r="N13" s="88">
        <f t="shared" si="4"/>
        <v>31.178268384793668</v>
      </c>
      <c r="O13" s="88">
        <f t="shared" si="5"/>
        <v>7.531490031535176</v>
      </c>
      <c r="P13" s="88">
        <f t="shared" si="6"/>
        <v>11.50407732539451</v>
      </c>
    </row>
    <row r="14" spans="1:16" x14ac:dyDescent="0.35">
      <c r="A14" s="237">
        <v>25</v>
      </c>
      <c r="B14" s="237">
        <v>29</v>
      </c>
      <c r="C14" s="194">
        <v>25</v>
      </c>
      <c r="D14" s="194">
        <v>29</v>
      </c>
      <c r="E14" s="195">
        <f t="shared" si="7"/>
        <v>27</v>
      </c>
      <c r="F14" s="199">
        <f>'Population vaccinated'!N14</f>
        <v>1375642.277073055</v>
      </c>
      <c r="G14" s="199">
        <f>'Population vaccinated'!M14</f>
        <v>720062.10966895637</v>
      </c>
      <c r="H14" s="199">
        <f>'Population vaccinated'!O14</f>
        <v>1675788.6132579888</v>
      </c>
      <c r="I14" s="199">
        <f t="shared" si="0"/>
        <v>3771493</v>
      </c>
      <c r="J14" s="179">
        <f t="shared" si="1"/>
        <v>7.5985507134837702</v>
      </c>
      <c r="K14" s="179">
        <f t="shared" si="2"/>
        <v>3.9773628277979354</v>
      </c>
      <c r="L14" s="179">
        <f t="shared" si="3"/>
        <v>9.2564505868579356</v>
      </c>
      <c r="M14" s="131">
        <f>'ONS Week 26 deaths'!H9</f>
        <v>20.832364128139641</v>
      </c>
      <c r="N14" s="88">
        <f t="shared" si="4"/>
        <v>15.405152954584796</v>
      </c>
      <c r="O14" s="88">
        <f t="shared" si="5"/>
        <v>3.1878023042565999</v>
      </c>
      <c r="P14" s="88">
        <f t="shared" si="6"/>
        <v>6.6795199548668167</v>
      </c>
    </row>
    <row r="15" spans="1:16" x14ac:dyDescent="0.35">
      <c r="A15" s="237">
        <v>18</v>
      </c>
      <c r="B15" s="237">
        <v>24</v>
      </c>
      <c r="C15" s="194">
        <v>18</v>
      </c>
      <c r="D15" s="194">
        <v>24</v>
      </c>
      <c r="E15" s="195">
        <f t="shared" si="7"/>
        <v>21</v>
      </c>
      <c r="F15" s="199">
        <f>'Population vaccinated'!N15</f>
        <v>1264683.3431211011</v>
      </c>
      <c r="G15" s="199">
        <f>'Population vaccinated'!M15</f>
        <v>540861.00069053145</v>
      </c>
      <c r="H15" s="199">
        <f>'Population vaccinated'!O15</f>
        <v>2913326.0561883678</v>
      </c>
      <c r="I15" s="199">
        <f t="shared" si="0"/>
        <v>4718870.4000000004</v>
      </c>
      <c r="J15" s="179">
        <f t="shared" ref="J15:J16" si="8">F15/I15*M15</f>
        <v>8.6793206209386824</v>
      </c>
      <c r="K15" s="179">
        <f t="shared" ref="K15:K16" si="9">G15/I15*M15</f>
        <v>3.7118430173752612</v>
      </c>
      <c r="L15" s="179">
        <f t="shared" ref="L15:L16" si="10">H15/I15*M15</f>
        <v>19.99369332452132</v>
      </c>
      <c r="M15" s="247">
        <f>'ONS Week 26 deaths'!H8+2/5*'ONS Week 26 deaths'!H7</f>
        <v>32.384856962835265</v>
      </c>
      <c r="N15" s="88">
        <f t="shared" si="4"/>
        <v>17.596284706000318</v>
      </c>
      <c r="O15" s="88">
        <f t="shared" si="5"/>
        <v>2.9749917812699911</v>
      </c>
      <c r="P15" s="88">
        <f t="shared" si="6"/>
        <v>14.427589957886875</v>
      </c>
    </row>
    <row r="16" spans="1:16" x14ac:dyDescent="0.35">
      <c r="A16" s="237">
        <v>10</v>
      </c>
      <c r="B16" s="237">
        <v>17</v>
      </c>
      <c r="C16" s="194">
        <v>10</v>
      </c>
      <c r="D16" s="194">
        <v>17</v>
      </c>
      <c r="E16" s="195">
        <f t="shared" si="7"/>
        <v>13.5</v>
      </c>
      <c r="F16" s="199">
        <f>'Population vaccinated'!N16</f>
        <v>46092.824403582192</v>
      </c>
      <c r="G16" s="199">
        <f>'Population vaccinated'!M16</f>
        <v>27204.043196913684</v>
      </c>
      <c r="H16" s="199">
        <f>'Population vaccinated'!O16</f>
        <v>5231804.7323995037</v>
      </c>
      <c r="I16" s="199">
        <f t="shared" si="0"/>
        <v>5305101.5999999996</v>
      </c>
      <c r="J16" s="179">
        <f t="shared" si="8"/>
        <v>0.1464453191255726</v>
      </c>
      <c r="K16" s="179">
        <f t="shared" si="9"/>
        <v>8.6432212367707942E-2</v>
      </c>
      <c r="L16" s="179">
        <f t="shared" si="10"/>
        <v>16.622398899456066</v>
      </c>
      <c r="M16" s="247">
        <f>3/5*'ONS Week 26 deaths'!H7+'ONS Week 26 deaths'!H6</f>
        <v>16.855276430949345</v>
      </c>
      <c r="N16" s="88">
        <f t="shared" si="4"/>
        <v>0.296900372936788</v>
      </c>
      <c r="O16" s="88">
        <f t="shared" si="5"/>
        <v>6.9274244688489112E-2</v>
      </c>
      <c r="P16" s="88">
        <f t="shared" si="6"/>
        <v>11.994840150101375</v>
      </c>
    </row>
    <row r="17" spans="1:18" s="1" customFormat="1" x14ac:dyDescent="0.35">
      <c r="A17" s="237"/>
      <c r="B17" s="237"/>
      <c r="C17" s="194"/>
      <c r="D17" s="194"/>
      <c r="E17" s="250" t="s">
        <v>105</v>
      </c>
      <c r="F17" s="200">
        <f>SUM(F3:F16)</f>
        <v>7809923.2955033435</v>
      </c>
      <c r="G17" s="200">
        <f>SUM(G3:G16)</f>
        <v>25867529.403481506</v>
      </c>
      <c r="H17" s="200">
        <f>SUM(H3:H16)</f>
        <v>16093780.301015146</v>
      </c>
      <c r="I17" s="200">
        <f t="shared" si="0"/>
        <v>49771232.999999993</v>
      </c>
      <c r="J17" s="180">
        <f t="shared" ref="J17:P17" si="11">SUM(J3:J16)</f>
        <v>284.11046770321508</v>
      </c>
      <c r="K17" s="180">
        <f t="shared" si="11"/>
        <v>7416.2204528376951</v>
      </c>
      <c r="L17" s="180">
        <f t="shared" si="11"/>
        <v>604.2069614493023</v>
      </c>
      <c r="M17" s="176">
        <f t="shared" si="11"/>
        <v>8304.5378819902126</v>
      </c>
      <c r="N17" s="187">
        <f t="shared" si="11"/>
        <v>576</v>
      </c>
      <c r="O17" s="187">
        <f t="shared" si="11"/>
        <v>5943.9999999999991</v>
      </c>
      <c r="P17" s="187">
        <f t="shared" si="11"/>
        <v>435.99999999999994</v>
      </c>
    </row>
    <row r="18" spans="1:18" s="1" customFormat="1" x14ac:dyDescent="0.35">
      <c r="C18" s="106"/>
      <c r="D18" s="73"/>
      <c r="E18" s="73"/>
      <c r="I18" s="201" t="s">
        <v>244</v>
      </c>
      <c r="J18" s="201">
        <f>J17*'Population vaccinated'!$P$25/'Population vaccinated'!$P$23</f>
        <v>224.02515543739125</v>
      </c>
      <c r="K18" s="201">
        <f>K17*'Population vaccinated'!$P$25/'Population vaccinated'!$P$23</f>
        <v>5847.7955885823339</v>
      </c>
      <c r="L18" s="201">
        <f>L17*'Population vaccinated'!$P$25/'Population vaccinated'!$P$23</f>
        <v>476.4258056004814</v>
      </c>
      <c r="M18" s="201">
        <f>M17*'Population vaccinated'!$P$25/'Population vaccinated'!$P$23</f>
        <v>6548.2465496202067</v>
      </c>
      <c r="N18" s="101"/>
      <c r="O18" s="185" t="s">
        <v>245</v>
      </c>
      <c r="P18" s="187">
        <f>SUM(N17:P17)</f>
        <v>6955.9999999999991</v>
      </c>
    </row>
    <row r="19" spans="1:18" s="1" customFormat="1" x14ac:dyDescent="0.35">
      <c r="D19" s="73"/>
      <c r="E19" s="73"/>
      <c r="F19" s="73"/>
      <c r="J19" s="89"/>
      <c r="L19" s="82"/>
    </row>
    <row r="20" spans="1:18" x14ac:dyDescent="0.35">
      <c r="C20" s="1"/>
      <c r="D20" s="73"/>
      <c r="E20" s="73"/>
      <c r="F20" s="73"/>
      <c r="G20" s="1"/>
      <c r="H20" s="89"/>
      <c r="I20" s="89"/>
    </row>
    <row r="21" spans="1:18" x14ac:dyDescent="0.35">
      <c r="C21" s="1"/>
      <c r="D21" s="73"/>
      <c r="G21" s="189"/>
      <c r="H21" s="189"/>
      <c r="I21" s="189"/>
      <c r="J21" s="248" t="s">
        <v>248</v>
      </c>
      <c r="K21" s="249"/>
      <c r="L21" s="249"/>
      <c r="M21" s="191"/>
      <c r="P21" s="73"/>
      <c r="Q21" s="73"/>
      <c r="R21" s="73"/>
    </row>
    <row r="22" spans="1:18" x14ac:dyDescent="0.35">
      <c r="C22" s="1"/>
      <c r="D22" s="73"/>
      <c r="G22" s="190" t="s">
        <v>243</v>
      </c>
      <c r="H22" s="189"/>
      <c r="I22" s="189"/>
      <c r="J22" s="191">
        <f>J18</f>
        <v>224.02515543739125</v>
      </c>
      <c r="K22" s="191">
        <f>K18</f>
        <v>5847.7955885823339</v>
      </c>
      <c r="L22" s="191">
        <f>L18</f>
        <v>476.4258056004814</v>
      </c>
      <c r="M22" s="191">
        <f>SUM(J22:L22)</f>
        <v>6548.2465496202058</v>
      </c>
      <c r="P22" s="73"/>
      <c r="Q22" s="73"/>
      <c r="R22" s="73"/>
    </row>
    <row r="23" spans="1:18" x14ac:dyDescent="0.35">
      <c r="G23" s="193" t="s">
        <v>246</v>
      </c>
      <c r="H23" s="189"/>
      <c r="I23" s="189"/>
      <c r="J23" s="191">
        <f>'Aggregated ONS Table 4 and 5'!I28+'Aggregated ONS Table 4 and 5'!N28</f>
        <v>576</v>
      </c>
      <c r="K23" s="191">
        <f>'Aggregated ONS Table 4 and 5'!S28</f>
        <v>5944</v>
      </c>
      <c r="L23" s="191">
        <f>'Aggregated ONS Table 4 and 5'!D28</f>
        <v>436</v>
      </c>
      <c r="M23" s="191">
        <f>SUM(J23:L23)</f>
        <v>6956</v>
      </c>
      <c r="P23" s="73"/>
      <c r="Q23" s="73"/>
      <c r="R23" s="73"/>
    </row>
    <row r="24" spans="1:18" x14ac:dyDescent="0.35">
      <c r="G24" s="190" t="s">
        <v>179</v>
      </c>
      <c r="H24" s="189"/>
      <c r="I24" s="189"/>
      <c r="J24" s="202">
        <f>J23/J18</f>
        <v>2.5711398297008472</v>
      </c>
      <c r="K24" s="202">
        <f>K23/K18</f>
        <v>1.0164513977891947</v>
      </c>
      <c r="L24" s="202">
        <f>L23/L18</f>
        <v>0.91514774152603007</v>
      </c>
      <c r="M24" s="202">
        <f>M23/M18</f>
        <v>1.0622691047580428</v>
      </c>
    </row>
    <row r="25" spans="1:18" x14ac:dyDescent="0.35">
      <c r="C25" s="82"/>
      <c r="D25" s="82"/>
      <c r="G25" s="190" t="s">
        <v>247</v>
      </c>
      <c r="H25" s="190"/>
      <c r="I25" s="189"/>
      <c r="J25" s="203">
        <f>J24/L24</f>
        <v>2.8095352400841986</v>
      </c>
      <c r="K25" s="203">
        <f>K24/L24</f>
        <v>1.1106965046914048</v>
      </c>
      <c r="L25" s="189"/>
      <c r="M25" s="191"/>
      <c r="O25" s="103"/>
    </row>
    <row r="26" spans="1:18" x14ac:dyDescent="0.35">
      <c r="C26" s="89"/>
      <c r="D26" s="73"/>
      <c r="E26" s="73"/>
      <c r="F26" s="73"/>
      <c r="G26" s="1"/>
      <c r="H26" s="101"/>
      <c r="I26" s="101"/>
      <c r="K26" s="1"/>
      <c r="L26" s="1"/>
      <c r="O26" s="101"/>
    </row>
    <row r="27" spans="1:18" x14ac:dyDescent="0.35">
      <c r="C27" s="89"/>
      <c r="D27" s="73"/>
      <c r="E27" s="73"/>
      <c r="F27" s="73"/>
      <c r="G27" s="1"/>
      <c r="H27" s="89"/>
      <c r="I27" s="89"/>
      <c r="K27" s="1"/>
      <c r="L27" s="1"/>
    </row>
    <row r="28" spans="1:18" x14ac:dyDescent="0.35">
      <c r="C28" s="89"/>
      <c r="D28" s="73"/>
      <c r="E28" s="73"/>
      <c r="F28" s="73"/>
      <c r="G28" s="1"/>
      <c r="H28" s="89"/>
      <c r="I28" s="89"/>
      <c r="J28" s="89"/>
      <c r="K28" s="1"/>
      <c r="L28" s="1"/>
    </row>
    <row r="29" spans="1:18" x14ac:dyDescent="0.35">
      <c r="C29" s="89"/>
      <c r="D29" s="73"/>
      <c r="E29" s="73"/>
      <c r="F29" s="73"/>
      <c r="G29" s="1"/>
      <c r="H29" s="89"/>
      <c r="I29" s="89"/>
      <c r="J29" s="89"/>
      <c r="K29" s="1"/>
      <c r="L29" s="1"/>
    </row>
    <row r="30" spans="1:18" x14ac:dyDescent="0.35">
      <c r="C30" s="89"/>
      <c r="D30" s="73"/>
      <c r="E30" s="73"/>
      <c r="F30" s="73"/>
      <c r="G30" s="1"/>
      <c r="H30" s="89"/>
      <c r="I30" s="89"/>
      <c r="J30" s="89"/>
      <c r="K30" s="1"/>
      <c r="L30" s="1"/>
    </row>
    <row r="31" spans="1:18" x14ac:dyDescent="0.35">
      <c r="C31" s="89"/>
      <c r="D31" s="73"/>
      <c r="E31" s="1"/>
      <c r="F31" s="73"/>
      <c r="G31" s="1"/>
      <c r="H31" s="89"/>
      <c r="I31" s="89"/>
      <c r="J31" s="89"/>
      <c r="K31" s="1"/>
      <c r="L31" s="1"/>
    </row>
    <row r="32" spans="1:18" x14ac:dyDescent="0.35">
      <c r="C32" s="89"/>
      <c r="D32" s="73"/>
      <c r="E32" s="73"/>
      <c r="F32" s="89"/>
      <c r="G32" s="1"/>
      <c r="H32" s="89"/>
      <c r="I32" s="89"/>
      <c r="L32" s="1"/>
    </row>
    <row r="33" spans="3:12" x14ac:dyDescent="0.35">
      <c r="C33" s="89"/>
      <c r="D33" s="73"/>
      <c r="E33" s="73"/>
      <c r="F33" s="89"/>
      <c r="G33" s="1"/>
      <c r="H33" s="89"/>
      <c r="I33" s="89"/>
      <c r="L33" s="1"/>
    </row>
    <row r="34" spans="3:12" x14ac:dyDescent="0.35">
      <c r="C34" s="89"/>
      <c r="D34" s="73"/>
      <c r="E34" s="73"/>
      <c r="F34" s="89"/>
      <c r="G34" s="1"/>
      <c r="H34" s="89"/>
      <c r="I34" s="89"/>
      <c r="L34" s="1"/>
    </row>
    <row r="35" spans="3:12" x14ac:dyDescent="0.35">
      <c r="C35" s="89"/>
      <c r="D35" s="73"/>
      <c r="E35" s="73"/>
      <c r="F35" s="73"/>
      <c r="G35" s="1"/>
      <c r="H35" s="89"/>
      <c r="I35" s="89"/>
      <c r="J35" s="89"/>
      <c r="K35" s="1"/>
      <c r="L35" s="1"/>
    </row>
    <row r="36" spans="3:12" x14ac:dyDescent="0.35">
      <c r="C36" s="89"/>
      <c r="D36" s="73"/>
      <c r="E36" s="73"/>
      <c r="F36" s="73"/>
      <c r="G36" s="1"/>
      <c r="H36" s="89"/>
      <c r="I36" s="89"/>
      <c r="J36" s="89"/>
      <c r="K36" s="1"/>
      <c r="L36" s="1"/>
    </row>
    <row r="37" spans="3:12" x14ac:dyDescent="0.35">
      <c r="C37" s="89"/>
      <c r="D37" s="73"/>
      <c r="E37" s="73"/>
      <c r="F37" s="73"/>
      <c r="G37" s="1"/>
      <c r="H37" s="89"/>
      <c r="I37" s="89"/>
      <c r="J37" s="89"/>
      <c r="K37" s="1"/>
      <c r="L37" s="1"/>
    </row>
    <row r="38" spans="3:12" x14ac:dyDescent="0.35">
      <c r="C38" s="89"/>
      <c r="D38" s="73"/>
      <c r="E38" s="73"/>
      <c r="F38" s="73"/>
      <c r="G38" s="1"/>
      <c r="H38" s="89"/>
      <c r="I38" s="89"/>
      <c r="J38" s="89"/>
      <c r="K38" s="1"/>
      <c r="L38" s="1"/>
    </row>
    <row r="39" spans="3:12" x14ac:dyDescent="0.35">
      <c r="C39" s="89"/>
      <c r="D39" s="73"/>
      <c r="E39" s="73"/>
      <c r="F39" s="73"/>
      <c r="G39" s="1"/>
      <c r="H39" s="89"/>
      <c r="I39" s="89"/>
      <c r="J39" s="89"/>
      <c r="K39" s="1"/>
      <c r="L39" s="1"/>
    </row>
    <row r="40" spans="3:12" x14ac:dyDescent="0.35">
      <c r="C40" s="89"/>
      <c r="D40" s="73"/>
      <c r="E40" s="73"/>
      <c r="F40" s="73"/>
      <c r="G40" s="1"/>
      <c r="H40" s="89"/>
      <c r="I40" s="89"/>
      <c r="J40" s="89"/>
      <c r="K40" s="1"/>
      <c r="L40" s="1"/>
    </row>
    <row r="41" spans="3:12" x14ac:dyDescent="0.35">
      <c r="C41" s="89"/>
      <c r="D41" s="73"/>
      <c r="E41" s="73"/>
      <c r="F41" s="73"/>
      <c r="G41" s="1"/>
      <c r="H41" s="89"/>
      <c r="I41" s="89"/>
      <c r="J41" s="89"/>
      <c r="K41" s="1"/>
      <c r="L41" s="1"/>
    </row>
    <row r="42" spans="3:12" x14ac:dyDescent="0.35">
      <c r="C42" s="89"/>
      <c r="D42" s="73"/>
      <c r="E42" s="73"/>
      <c r="F42" s="73"/>
      <c r="G42" s="1"/>
      <c r="H42" s="89"/>
      <c r="I42" s="89"/>
      <c r="J42" s="89"/>
      <c r="K42" s="1"/>
      <c r="L42" s="1"/>
    </row>
    <row r="43" spans="3:12" x14ac:dyDescent="0.35">
      <c r="C43" s="1"/>
      <c r="D43" s="73"/>
      <c r="E43" s="1"/>
      <c r="F43" s="1"/>
      <c r="G43" s="1"/>
      <c r="H43" s="73"/>
      <c r="I43" s="73"/>
      <c r="J43" s="73"/>
      <c r="K43" s="73"/>
      <c r="L43" s="73"/>
    </row>
    <row r="44" spans="3:12" x14ac:dyDescent="0.35">
      <c r="C44" s="1"/>
      <c r="D44" s="73"/>
      <c r="E44" s="1"/>
      <c r="F44" s="1"/>
      <c r="G44" s="1"/>
      <c r="H44" s="73"/>
      <c r="I44" s="73"/>
      <c r="J44" s="73"/>
      <c r="K44" s="73"/>
      <c r="L44" s="73"/>
    </row>
    <row r="45" spans="3:12" x14ac:dyDescent="0.35">
      <c r="C45" s="1"/>
      <c r="D45" s="1"/>
      <c r="E45" s="1"/>
      <c r="F45" s="1"/>
      <c r="G45" s="1"/>
      <c r="H45" s="73"/>
      <c r="I45" s="73"/>
      <c r="J45" s="73"/>
      <c r="K45" s="73"/>
      <c r="L45" s="73"/>
    </row>
    <row r="46" spans="3:12" x14ac:dyDescent="0.35">
      <c r="C46" s="1"/>
      <c r="D46" s="1"/>
      <c r="E46" s="1"/>
      <c r="F46" s="1"/>
      <c r="G46" s="1"/>
      <c r="H46" s="73"/>
      <c r="I46" s="73"/>
      <c r="J46" s="73"/>
      <c r="K46" s="73"/>
      <c r="L46" s="73"/>
    </row>
  </sheetData>
  <mergeCells count="4">
    <mergeCell ref="F1:I1"/>
    <mergeCell ref="M1:M2"/>
    <mergeCell ref="J1:L1"/>
    <mergeCell ref="N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E358-CB68-4597-AB61-216502C34CB5}">
  <dimension ref="A1:AR40"/>
  <sheetViews>
    <sheetView topLeftCell="G1" zoomScale="115" zoomScaleNormal="115" workbookViewId="0">
      <selection activeCell="O38" sqref="O38"/>
    </sheetView>
  </sheetViews>
  <sheetFormatPr defaultRowHeight="14.5" x14ac:dyDescent="0.35"/>
  <cols>
    <col min="2" max="2" width="14.54296875" customWidth="1"/>
    <col min="3" max="3" width="5.453125" style="1" customWidth="1"/>
    <col min="4" max="4" width="16.26953125" style="1" customWidth="1"/>
    <col min="5" max="6" width="9.453125" style="1" customWidth="1"/>
    <col min="7" max="7" width="11.26953125" customWidth="1"/>
    <col min="8" max="10" width="14.7265625" customWidth="1"/>
    <col min="11" max="11" width="13.7265625" customWidth="1"/>
    <col min="12" max="12" width="13.1796875" bestFit="1" customWidth="1"/>
    <col min="13" max="13" width="11.1796875" bestFit="1" customWidth="1"/>
    <col min="14" max="16" width="15" customWidth="1"/>
    <col min="17" max="17" width="15" style="1" customWidth="1"/>
    <col min="18" max="18" width="21.453125" style="1" customWidth="1"/>
    <col min="19" max="26" width="15" style="1" customWidth="1"/>
    <col min="27" max="27" width="16.453125" style="1" customWidth="1"/>
    <col min="28" max="29" width="15" customWidth="1"/>
    <col min="30" max="30" width="17.54296875" customWidth="1"/>
    <col min="31" max="31" width="19" customWidth="1"/>
    <col min="32" max="32" width="20.453125" style="1" customWidth="1"/>
    <col min="33" max="33" width="10.54296875" style="1" customWidth="1"/>
    <col min="34" max="34" width="15.1796875" style="1" customWidth="1"/>
    <col min="35" max="35" width="14.26953125" style="1" customWidth="1"/>
    <col min="38" max="38" width="12.54296875" customWidth="1"/>
    <col min="39" max="39" width="14.81640625" customWidth="1"/>
    <col min="40" max="40" width="12.1796875" bestFit="1" customWidth="1"/>
  </cols>
  <sheetData>
    <row r="1" spans="1:44" s="82" customFormat="1" ht="14.25" customHeight="1" x14ac:dyDescent="0.35">
      <c r="A1" s="134" t="s">
        <v>216</v>
      </c>
      <c r="B1" s="134"/>
      <c r="C1" s="144"/>
      <c r="D1" s="307" t="s">
        <v>224</v>
      </c>
      <c r="E1" s="144"/>
      <c r="F1" s="144"/>
      <c r="G1" s="144"/>
      <c r="H1" s="309" t="s">
        <v>13</v>
      </c>
      <c r="I1" s="310"/>
      <c r="J1" s="310"/>
      <c r="K1" s="311" t="s">
        <v>220</v>
      </c>
      <c r="L1" s="312"/>
      <c r="M1" s="312"/>
      <c r="N1" s="313" t="s">
        <v>221</v>
      </c>
      <c r="O1" s="288"/>
      <c r="P1" s="288"/>
      <c r="Q1" s="152"/>
      <c r="R1" s="315" t="s">
        <v>279</v>
      </c>
      <c r="S1" s="314" t="s">
        <v>55</v>
      </c>
      <c r="T1" s="288"/>
      <c r="U1" s="288"/>
      <c r="V1" s="302" t="s">
        <v>222</v>
      </c>
      <c r="W1" s="304" t="s">
        <v>223</v>
      </c>
      <c r="X1" s="305"/>
      <c r="Y1" s="305"/>
      <c r="Z1" s="306" t="s">
        <v>226</v>
      </c>
      <c r="AA1" s="288"/>
      <c r="AB1" s="288"/>
      <c r="AC1" s="288"/>
      <c r="AD1" s="301" t="s">
        <v>229</v>
      </c>
      <c r="AE1" s="288"/>
      <c r="AF1" s="288"/>
      <c r="AG1" s="1"/>
      <c r="AH1" s="1"/>
      <c r="AI1" s="1"/>
    </row>
    <row r="2" spans="1:44" s="82" customFormat="1" x14ac:dyDescent="0.35">
      <c r="A2" s="136" t="s">
        <v>104</v>
      </c>
      <c r="B2" s="136" t="s">
        <v>13</v>
      </c>
      <c r="C2" s="145"/>
      <c r="D2" s="308"/>
      <c r="E2" s="156" t="s">
        <v>134</v>
      </c>
      <c r="F2" s="156" t="s">
        <v>135</v>
      </c>
      <c r="G2" s="156" t="s">
        <v>217</v>
      </c>
      <c r="H2" s="139" t="s">
        <v>7</v>
      </c>
      <c r="I2" s="139" t="s">
        <v>132</v>
      </c>
      <c r="J2" s="139" t="s">
        <v>133</v>
      </c>
      <c r="K2" s="151" t="s">
        <v>7</v>
      </c>
      <c r="L2" s="151" t="s">
        <v>132</v>
      </c>
      <c r="M2" s="151" t="s">
        <v>133</v>
      </c>
      <c r="N2" s="152" t="s">
        <v>7</v>
      </c>
      <c r="O2" s="152" t="s">
        <v>132</v>
      </c>
      <c r="P2" s="152" t="s">
        <v>133</v>
      </c>
      <c r="Q2" s="152" t="s">
        <v>228</v>
      </c>
      <c r="R2" s="316"/>
      <c r="S2" s="153" t="s">
        <v>7</v>
      </c>
      <c r="T2" s="153" t="s">
        <v>132</v>
      </c>
      <c r="U2" s="153" t="s">
        <v>133</v>
      </c>
      <c r="V2" s="303"/>
      <c r="W2" s="154" t="s">
        <v>7</v>
      </c>
      <c r="X2" s="154" t="s">
        <v>132</v>
      </c>
      <c r="Y2" s="154" t="s">
        <v>133</v>
      </c>
      <c r="Z2" s="162" t="s">
        <v>7</v>
      </c>
      <c r="AA2" s="162" t="s">
        <v>132</v>
      </c>
      <c r="AB2" s="162" t="s">
        <v>133</v>
      </c>
      <c r="AC2" s="162" t="s">
        <v>227</v>
      </c>
      <c r="AD2" s="167" t="s">
        <v>177</v>
      </c>
      <c r="AE2" s="167" t="s">
        <v>178</v>
      </c>
      <c r="AF2" s="168" t="s">
        <v>230</v>
      </c>
      <c r="AL2" s="159"/>
      <c r="AM2" s="159"/>
      <c r="AN2" s="159"/>
      <c r="AQ2" s="160"/>
      <c r="AR2" s="133"/>
    </row>
    <row r="3" spans="1:44" x14ac:dyDescent="0.35">
      <c r="A3" s="137" t="s">
        <v>131</v>
      </c>
      <c r="B3" s="137">
        <v>200</v>
      </c>
      <c r="C3" s="146"/>
      <c r="D3" s="155">
        <f>SUM(B3:B6)</f>
        <v>5000</v>
      </c>
      <c r="E3" s="155">
        <f>'Population vaccinated'!A3</f>
        <v>80</v>
      </c>
      <c r="F3" s="155">
        <f>'Population vaccinated'!B3</f>
        <v>100</v>
      </c>
      <c r="G3" s="173">
        <f>'Population vaccinated'!C3</f>
        <v>90</v>
      </c>
      <c r="H3" s="140">
        <f>'Population vaccinated'!O3*'Population vaccinated'!$P$25/'Population vaccinated'!$P$23</f>
        <v>107224.83638245</v>
      </c>
      <c r="I3" s="140">
        <f>'Population vaccinated'!N3*'Population vaccinated'!$P$25/'Population vaccinated'!$P$23</f>
        <v>48054.959796768417</v>
      </c>
      <c r="J3" s="140">
        <f>'Population vaccinated'!M3*'Population vaccinated'!$P$25/'Population vaccinated'!$P$23</f>
        <v>2096400.7385560374</v>
      </c>
      <c r="K3" s="142">
        <f>'Death counts'!P3</f>
        <v>149.19167862422614</v>
      </c>
      <c r="L3" s="142">
        <f>'Death counts'!N3</f>
        <v>187.85463295818425</v>
      </c>
      <c r="M3" s="142">
        <f>'Death counts'!O3</f>
        <v>3239.8053438172219</v>
      </c>
      <c r="N3" s="149">
        <f t="shared" ref="N3:P4" si="0">K3/H3*100000</f>
        <v>139.13910588036583</v>
      </c>
      <c r="O3" s="149">
        <f t="shared" si="0"/>
        <v>390.91622124469455</v>
      </c>
      <c r="P3" s="149">
        <f t="shared" si="0"/>
        <v>154.54131856720966</v>
      </c>
      <c r="Q3" s="149">
        <f t="shared" ref="Q3:Q16" si="1">(O3*I3+P3*J3)/(I3+J3)</f>
        <v>159.83822745362625</v>
      </c>
      <c r="R3" s="149">
        <f>V3*100000</f>
        <v>300.18942307692305</v>
      </c>
      <c r="S3" s="135">
        <f t="shared" ref="S3:S16" si="2">K3/H3</f>
        <v>1.3913910588036584E-3</v>
      </c>
      <c r="T3" s="135">
        <f t="shared" ref="T3:T16" si="3">L3/I3</f>
        <v>3.9091622124469453E-3</v>
      </c>
      <c r="U3" s="135">
        <f t="shared" ref="U3:U16" si="4">M3/J3</f>
        <v>1.5454131856720967E-3</v>
      </c>
      <c r="V3" s="158">
        <f>LOOKUP(G3,'ONS Life Tables 2017-19'!$A$3:$A$103,'ONS Life Tables 2017-19'!$G$3:$G$103)</f>
        <v>3.0018942307692307E-3</v>
      </c>
      <c r="W3" s="150">
        <f>S3/V3</f>
        <v>0.46350435819556396</v>
      </c>
      <c r="X3" s="150">
        <f>T3/V3</f>
        <v>1.3022318282830467</v>
      </c>
      <c r="Y3" s="150">
        <f>U3/V3</f>
        <v>0.51481267055704594</v>
      </c>
      <c r="Z3" s="163">
        <f t="shared" ref="Z3:Z16" si="5">N3*D3</f>
        <v>695695.52940182912</v>
      </c>
      <c r="AA3" s="163">
        <f t="shared" ref="AA3:AA16" si="6">O3*D3</f>
        <v>1954581.1062234729</v>
      </c>
      <c r="AB3" s="163">
        <f t="shared" ref="AB3:AB16" si="7">P3*D3</f>
        <v>772706.59283604834</v>
      </c>
      <c r="AC3" s="163">
        <f t="shared" ref="AC3:AC16" si="8">(O3*I3+P3*J3)/(I3+J3)*(D3)</f>
        <v>799191.13726813125</v>
      </c>
      <c r="AD3" s="169">
        <f t="shared" ref="AD3:AD16" si="9">P3/N3</f>
        <v>1.110696504691405</v>
      </c>
      <c r="AE3" s="169">
        <f t="shared" ref="AE3:AE16" si="10">O3/N3</f>
        <v>2.8095352400842</v>
      </c>
      <c r="AF3" s="169">
        <f>Q3/N3</f>
        <v>1.1487656647086539</v>
      </c>
      <c r="AL3" s="161"/>
      <c r="AM3" s="161"/>
      <c r="AN3" s="161"/>
      <c r="AQ3" s="133"/>
      <c r="AR3" s="133"/>
    </row>
    <row r="4" spans="1:44" x14ac:dyDescent="0.35">
      <c r="A4" s="137" t="s">
        <v>130</v>
      </c>
      <c r="B4" s="137">
        <v>800</v>
      </c>
      <c r="C4" s="146"/>
      <c r="D4" s="155">
        <f t="shared" ref="D4:D14" si="11">B7</f>
        <v>4000</v>
      </c>
      <c r="E4" s="155">
        <f>'Population vaccinated'!A4</f>
        <v>75</v>
      </c>
      <c r="F4" s="155">
        <f>'Population vaccinated'!B4</f>
        <v>79</v>
      </c>
      <c r="G4" s="173">
        <f>'Population vaccinated'!C4</f>
        <v>77</v>
      </c>
      <c r="H4" s="140">
        <f>'Population vaccinated'!O4*'Population vaccinated'!$P$25/'Population vaccinated'!$P$23</f>
        <v>72751.820364969826</v>
      </c>
      <c r="I4" s="140">
        <f>'Population vaccinated'!N4*'Population vaccinated'!$P$25/'Population vaccinated'!$P$23</f>
        <v>21673.236564781189</v>
      </c>
      <c r="J4" s="140">
        <f>'Population vaccinated'!M4*'Population vaccinated'!$P$25/'Population vaccinated'!$P$23</f>
        <v>1490482.2992409109</v>
      </c>
      <c r="K4" s="142">
        <f>'Death counts'!P4</f>
        <v>36.541178552174323</v>
      </c>
      <c r="L4" s="142">
        <f>'Death counts'!N4</f>
        <v>30.584187048077936</v>
      </c>
      <c r="M4" s="142">
        <f>'Death counts'!O4</f>
        <v>831.49743498104783</v>
      </c>
      <c r="N4" s="149">
        <f t="shared" si="0"/>
        <v>50.227167332529028</v>
      </c>
      <c r="O4" s="149">
        <f t="shared" si="0"/>
        <v>141.11499663034618</v>
      </c>
      <c r="P4" s="149">
        <f t="shared" si="0"/>
        <v>55.787139196790328</v>
      </c>
      <c r="Q4" s="149">
        <f t="shared" si="1"/>
        <v>57.010115799351276</v>
      </c>
      <c r="R4" s="149">
        <f t="shared" ref="R4:R16" si="12">V4*100000</f>
        <v>62.958653846153851</v>
      </c>
      <c r="S4" s="135">
        <f t="shared" si="2"/>
        <v>5.0227167332529026E-4</v>
      </c>
      <c r="T4" s="135">
        <f t="shared" si="3"/>
        <v>1.4111499663034619E-3</v>
      </c>
      <c r="U4" s="135">
        <f t="shared" si="4"/>
        <v>5.5787139196790327E-4</v>
      </c>
      <c r="V4" s="158">
        <f>LOOKUP(G4,'ONS Life Tables 2017-19'!$A$3:$A$103,'ONS Life Tables 2017-19'!$G$3:$G$103)</f>
        <v>6.295865384615385E-4</v>
      </c>
      <c r="W4" s="150">
        <f t="shared" ref="W4:W16" si="13">S4/V4</f>
        <v>0.79778019802113997</v>
      </c>
      <c r="X4" s="150">
        <f t="shared" ref="X4:X16" si="14">T4/V4</f>
        <v>2.2413915801817437</v>
      </c>
      <c r="Y4" s="150">
        <f t="shared" ref="Y4:Y16" si="15">U4/V4</f>
        <v>0.88609167745409745</v>
      </c>
      <c r="Z4" s="163">
        <f t="shared" si="5"/>
        <v>200908.6693301161</v>
      </c>
      <c r="AA4" s="163">
        <f t="shared" si="6"/>
        <v>564459.98652138468</v>
      </c>
      <c r="AB4" s="163">
        <f t="shared" si="7"/>
        <v>223148.5567871613</v>
      </c>
      <c r="AC4" s="163">
        <f t="shared" si="8"/>
        <v>228040.4631974051</v>
      </c>
      <c r="AD4" s="169">
        <f t="shared" si="9"/>
        <v>1.1106965046914052</v>
      </c>
      <c r="AE4" s="169">
        <f t="shared" si="10"/>
        <v>2.8095352400841991</v>
      </c>
      <c r="AF4" s="169">
        <f t="shared" ref="AF4:AF16" si="16">Q4/N4</f>
        <v>1.1350454112197037</v>
      </c>
      <c r="AL4" s="161"/>
      <c r="AM4" s="161"/>
      <c r="AN4" s="161"/>
      <c r="AQ4" s="133"/>
      <c r="AR4" s="133"/>
    </row>
    <row r="5" spans="1:44" x14ac:dyDescent="0.35">
      <c r="A5" s="137" t="s">
        <v>129</v>
      </c>
      <c r="B5" s="137">
        <v>1500</v>
      </c>
      <c r="C5" s="146"/>
      <c r="D5" s="155">
        <f t="shared" si="11"/>
        <v>5000</v>
      </c>
      <c r="E5" s="155">
        <f>'Population vaccinated'!A5</f>
        <v>70</v>
      </c>
      <c r="F5" s="155">
        <f>'Population vaccinated'!B5</f>
        <v>74</v>
      </c>
      <c r="G5" s="173">
        <f>'Population vaccinated'!C5</f>
        <v>72</v>
      </c>
      <c r="H5" s="140">
        <f>'Population vaccinated'!O5*'Population vaccinated'!$P$25/'Population vaccinated'!$P$23</f>
        <v>124298.05102562316</v>
      </c>
      <c r="I5" s="140">
        <f>'Population vaccinated'!N5*'Population vaccinated'!$P$25/'Population vaccinated'!$P$23</f>
        <v>31966.68164535777</v>
      </c>
      <c r="J5" s="140">
        <f>'Population vaccinated'!M5*'Population vaccinated'!$P$25/'Population vaccinated'!$P$23</f>
        <v>2062715.3271530545</v>
      </c>
      <c r="K5" s="142">
        <f>'Death counts'!P5</f>
        <v>36.017800193635992</v>
      </c>
      <c r="L5" s="142">
        <f>'Death counts'!N5</f>
        <v>26.024650467266834</v>
      </c>
      <c r="M5" s="142">
        <f>'Death counts'!O5</f>
        <v>663.87691368284993</v>
      </c>
      <c r="N5" s="149">
        <f t="shared" ref="N5:N16" si="17">K5/H5*100000</f>
        <v>28.976962950296929</v>
      </c>
      <c r="O5" s="149">
        <f t="shared" ref="O5:O16" si="18">L5/I5*100000</f>
        <v>81.411798559473425</v>
      </c>
      <c r="P5" s="149">
        <f t="shared" ref="P5:P16" si="19">M5/J5*100000</f>
        <v>32.184611465467135</v>
      </c>
      <c r="Q5" s="149">
        <f t="shared" si="1"/>
        <v>32.935861445903669</v>
      </c>
      <c r="R5" s="149">
        <f t="shared" si="12"/>
        <v>35.339423076923083</v>
      </c>
      <c r="S5" s="135">
        <f t="shared" si="2"/>
        <v>2.8976962950296928E-4</v>
      </c>
      <c r="T5" s="135">
        <f t="shared" si="3"/>
        <v>8.1411798559473424E-4</v>
      </c>
      <c r="U5" s="135">
        <f t="shared" si="4"/>
        <v>3.2184611465467137E-4</v>
      </c>
      <c r="V5" s="158">
        <f>LOOKUP(G5,'ONS Life Tables 2017-19'!$A$3:$A$103,'ONS Life Tables 2017-19'!$G$3:$G$103)</f>
        <v>3.533942307692308E-4</v>
      </c>
      <c r="W5" s="150">
        <f t="shared" si="13"/>
        <v>0.81996140364892123</v>
      </c>
      <c r="X5" s="150">
        <f t="shared" si="14"/>
        <v>2.3037104590605488</v>
      </c>
      <c r="Y5" s="150">
        <f t="shared" si="15"/>
        <v>0.91072826501471493</v>
      </c>
      <c r="Z5" s="163">
        <f t="shared" si="5"/>
        <v>144884.81475148464</v>
      </c>
      <c r="AA5" s="163">
        <f t="shared" si="6"/>
        <v>407058.9927973671</v>
      </c>
      <c r="AB5" s="163">
        <f t="shared" si="7"/>
        <v>160923.05732733567</v>
      </c>
      <c r="AC5" s="163">
        <f t="shared" si="8"/>
        <v>164679.30722951834</v>
      </c>
      <c r="AD5" s="169">
        <f t="shared" si="9"/>
        <v>1.1106965046914048</v>
      </c>
      <c r="AE5" s="169">
        <f t="shared" si="10"/>
        <v>2.8095352400841991</v>
      </c>
      <c r="AF5" s="169">
        <f t="shared" si="16"/>
        <v>1.1366222713676821</v>
      </c>
      <c r="AL5" s="161"/>
      <c r="AM5" s="161"/>
      <c r="AN5" s="161"/>
      <c r="AQ5" s="133"/>
      <c r="AR5" s="133"/>
    </row>
    <row r="6" spans="1:44" x14ac:dyDescent="0.35">
      <c r="A6" s="137" t="s">
        <v>128</v>
      </c>
      <c r="B6" s="137">
        <v>2500</v>
      </c>
      <c r="C6" s="146"/>
      <c r="D6" s="155">
        <f t="shared" si="11"/>
        <v>5500</v>
      </c>
      <c r="E6" s="155">
        <f>'Population vaccinated'!A6</f>
        <v>65</v>
      </c>
      <c r="F6" s="155">
        <f>'Population vaccinated'!B6</f>
        <v>69</v>
      </c>
      <c r="G6" s="173">
        <f>'Population vaccinated'!C6</f>
        <v>67</v>
      </c>
      <c r="H6" s="140">
        <f>'Population vaccinated'!O6*'Population vaccinated'!$P$25/'Population vaccinated'!$P$23</f>
        <v>172139.90910961447</v>
      </c>
      <c r="I6" s="140">
        <f>'Population vaccinated'!N6*'Population vaccinated'!$P$25/'Population vaccinated'!$P$23</f>
        <v>45083.972541866795</v>
      </c>
      <c r="J6" s="140">
        <f>'Population vaccinated'!M6*'Population vaccinated'!$P$25/'Population vaccinated'!$P$23</f>
        <v>1978236.374800273</v>
      </c>
      <c r="K6" s="142">
        <f>'Death counts'!P6</f>
        <v>30.377756055104584</v>
      </c>
      <c r="L6" s="142">
        <f>'Death counts'!N6</f>
        <v>22.352740760913882</v>
      </c>
      <c r="M6" s="142">
        <f>'Death counts'!O6</f>
        <v>387.74634190695178</v>
      </c>
      <c r="N6" s="149">
        <f t="shared" si="17"/>
        <v>17.647131459655164</v>
      </c>
      <c r="O6" s="149">
        <f t="shared" si="18"/>
        <v>49.580237722299699</v>
      </c>
      <c r="P6" s="149">
        <f t="shared" si="19"/>
        <v>19.600607230068729</v>
      </c>
      <c r="Q6" s="149">
        <f t="shared" si="1"/>
        <v>20.268618521361546</v>
      </c>
      <c r="R6" s="149">
        <f t="shared" si="12"/>
        <v>22.320192307692309</v>
      </c>
      <c r="S6" s="135">
        <f t="shared" si="2"/>
        <v>1.7647131459655165E-4</v>
      </c>
      <c r="T6" s="135">
        <f t="shared" si="3"/>
        <v>4.9580237722299703E-4</v>
      </c>
      <c r="U6" s="135">
        <f t="shared" si="4"/>
        <v>1.9600607230068728E-4</v>
      </c>
      <c r="V6" s="158">
        <f>LOOKUP(G6,'ONS Life Tables 2017-19'!$A$3:$A$103,'ONS Life Tables 2017-19'!$G$3:$G$103)</f>
        <v>2.2320192307692308E-4</v>
      </c>
      <c r="W6" s="150">
        <f t="shared" si="13"/>
        <v>0.79063527842335635</v>
      </c>
      <c r="X6" s="150">
        <f t="shared" si="14"/>
        <v>2.2213176767842024</v>
      </c>
      <c r="Y6" s="150">
        <f t="shared" si="15"/>
        <v>0.87815584023053794</v>
      </c>
      <c r="Z6" s="163">
        <f t="shared" si="5"/>
        <v>97059.223028103399</v>
      </c>
      <c r="AA6" s="163">
        <f t="shared" si="6"/>
        <v>272691.30747264833</v>
      </c>
      <c r="AB6" s="163">
        <f t="shared" si="7"/>
        <v>107803.33976537801</v>
      </c>
      <c r="AC6" s="163">
        <f t="shared" si="8"/>
        <v>111477.4018674885</v>
      </c>
      <c r="AD6" s="169">
        <f t="shared" si="9"/>
        <v>1.1106965046914055</v>
      </c>
      <c r="AE6" s="169">
        <f t="shared" si="10"/>
        <v>2.8095352400841995</v>
      </c>
      <c r="AF6" s="169">
        <f t="shared" si="16"/>
        <v>1.1485503220565689</v>
      </c>
      <c r="AL6" s="161"/>
      <c r="AM6" s="161"/>
      <c r="AN6" s="161"/>
      <c r="AQ6" s="133"/>
      <c r="AR6" s="133"/>
    </row>
    <row r="7" spans="1:44" x14ac:dyDescent="0.35">
      <c r="A7" s="137" t="s">
        <v>127</v>
      </c>
      <c r="B7" s="137">
        <v>4000</v>
      </c>
      <c r="C7" s="146"/>
      <c r="D7" s="155">
        <f t="shared" si="11"/>
        <v>6000</v>
      </c>
      <c r="E7" s="155">
        <f>'Population vaccinated'!A7</f>
        <v>60</v>
      </c>
      <c r="F7" s="155">
        <f>'Population vaccinated'!B7</f>
        <v>64</v>
      </c>
      <c r="G7" s="173">
        <f>'Population vaccinated'!C7</f>
        <v>62</v>
      </c>
      <c r="H7" s="140">
        <f>'Population vaccinated'!O7*'Population vaccinated'!$P$25/'Population vaccinated'!$P$23</f>
        <v>248039.86317791612</v>
      </c>
      <c r="I7" s="140">
        <f>'Population vaccinated'!N7*'Population vaccinated'!$P$25/'Population vaccinated'!$P$23</f>
        <v>83656.694504688741</v>
      </c>
      <c r="J7" s="140">
        <f>'Population vaccinated'!M7*'Population vaccinated'!$P$25/'Population vaccinated'!$P$23</f>
        <v>2189036.0820502909</v>
      </c>
      <c r="K7" s="142">
        <f>'Death counts'!P7</f>
        <v>32.408458777327468</v>
      </c>
      <c r="L7" s="142">
        <f>'Death counts'!N7</f>
        <v>30.709452894837646</v>
      </c>
      <c r="M7" s="142">
        <f>'Death counts'!O7</f>
        <v>317.67659588227372</v>
      </c>
      <c r="N7" s="149">
        <f t="shared" si="17"/>
        <v>13.065826743373607</v>
      </c>
      <c r="O7" s="149">
        <f t="shared" si="18"/>
        <v>36.708900676342722</v>
      </c>
      <c r="P7" s="149">
        <f t="shared" si="19"/>
        <v>14.512168094768546</v>
      </c>
      <c r="Q7" s="149">
        <f t="shared" si="1"/>
        <v>15.329218817917223</v>
      </c>
      <c r="R7" s="149">
        <f t="shared" si="12"/>
        <v>14.515384615384617</v>
      </c>
      <c r="S7" s="135">
        <f t="shared" si="2"/>
        <v>1.3065826743373607E-4</v>
      </c>
      <c r="T7" s="135">
        <f t="shared" si="3"/>
        <v>3.6708900676342719E-4</v>
      </c>
      <c r="U7" s="135">
        <f t="shared" si="4"/>
        <v>1.4512168094768545E-4</v>
      </c>
      <c r="V7" s="158">
        <f>LOOKUP(G7,'ONS Life Tables 2017-19'!$A$3:$A$103,'ONS Life Tables 2017-19'!$G$3:$G$103)</f>
        <v>1.4515384615384618E-4</v>
      </c>
      <c r="W7" s="150">
        <f t="shared" si="13"/>
        <v>0.9001364476092043</v>
      </c>
      <c r="X7" s="150">
        <f t="shared" si="14"/>
        <v>2.5289650704422644</v>
      </c>
      <c r="Y7" s="150">
        <f t="shared" si="15"/>
        <v>0.99977840610488111</v>
      </c>
      <c r="Z7" s="163">
        <f t="shared" si="5"/>
        <v>78394.960460241651</v>
      </c>
      <c r="AA7" s="163">
        <f t="shared" si="6"/>
        <v>220253.40405805633</v>
      </c>
      <c r="AB7" s="163">
        <f t="shared" si="7"/>
        <v>87073.008568611272</v>
      </c>
      <c r="AC7" s="163">
        <f t="shared" si="8"/>
        <v>91975.312907503336</v>
      </c>
      <c r="AD7" s="169">
        <f t="shared" si="9"/>
        <v>1.1106965046914048</v>
      </c>
      <c r="AE7" s="169">
        <f t="shared" si="10"/>
        <v>2.8095352400841995</v>
      </c>
      <c r="AF7" s="169">
        <f t="shared" si="16"/>
        <v>1.1732299164070505</v>
      </c>
      <c r="AL7" s="161"/>
      <c r="AM7" s="161"/>
      <c r="AN7" s="161"/>
      <c r="AQ7" s="133"/>
      <c r="AR7" s="133"/>
    </row>
    <row r="8" spans="1:44" x14ac:dyDescent="0.35">
      <c r="A8" s="137" t="s">
        <v>126</v>
      </c>
      <c r="B8" s="137">
        <v>5000</v>
      </c>
      <c r="C8" s="146"/>
      <c r="D8" s="155">
        <f t="shared" si="11"/>
        <v>6500</v>
      </c>
      <c r="E8" s="155">
        <f>'Population vaccinated'!A8</f>
        <v>55</v>
      </c>
      <c r="F8" s="155">
        <f>'Population vaccinated'!B8</f>
        <v>59</v>
      </c>
      <c r="G8" s="173">
        <f>'Population vaccinated'!C8</f>
        <v>57</v>
      </c>
      <c r="H8" s="140">
        <f>'Population vaccinated'!O8*'Population vaccinated'!$P$25/'Population vaccinated'!$P$23</f>
        <v>350766.70907174784</v>
      </c>
      <c r="I8" s="140">
        <f>'Population vaccinated'!N8*'Population vaccinated'!$P$25/'Population vaccinated'!$P$23</f>
        <v>124944.57741046487</v>
      </c>
      <c r="J8" s="140">
        <f>'Population vaccinated'!M8*'Population vaccinated'!$P$25/'Population vaccinated'!$P$23</f>
        <v>2490507.466682171</v>
      </c>
      <c r="K8" s="142">
        <f>'Death counts'!P8</f>
        <v>28.604548396259659</v>
      </c>
      <c r="L8" s="142">
        <f>'Death counts'!N8</f>
        <v>28.626524468174608</v>
      </c>
      <c r="M8" s="142">
        <f>'Death counts'!O8</f>
        <v>225.57968230477104</v>
      </c>
      <c r="N8" s="149">
        <f t="shared" si="17"/>
        <v>8.1548640895703475</v>
      </c>
      <c r="O8" s="149">
        <f t="shared" si="18"/>
        <v>22.911378037745045</v>
      </c>
      <c r="P8" s="149">
        <f t="shared" si="19"/>
        <v>9.05757904051924</v>
      </c>
      <c r="Q8" s="149">
        <f t="shared" si="1"/>
        <v>9.7193985011924013</v>
      </c>
      <c r="R8" s="149">
        <f t="shared" si="12"/>
        <v>9.023076923076923</v>
      </c>
      <c r="S8" s="135">
        <f t="shared" si="2"/>
        <v>8.1548640895703477E-5</v>
      </c>
      <c r="T8" s="135">
        <f t="shared" si="3"/>
        <v>2.2911378037745046E-4</v>
      </c>
      <c r="U8" s="135">
        <f t="shared" si="4"/>
        <v>9.0575790405192407E-5</v>
      </c>
      <c r="V8" s="158">
        <f>LOOKUP(G8,'ONS Life Tables 2017-19'!$A$3:$A$103,'ONS Life Tables 2017-19'!$G$3:$G$103)</f>
        <v>9.0230769230769233E-5</v>
      </c>
      <c r="W8" s="150">
        <f t="shared" si="13"/>
        <v>0.90377862885263871</v>
      </c>
      <c r="X8" s="150">
        <f t="shared" si="14"/>
        <v>2.539197906996467</v>
      </c>
      <c r="Y8" s="150">
        <f t="shared" si="15"/>
        <v>1.0038237640814163</v>
      </c>
      <c r="Z8" s="163">
        <f t="shared" si="5"/>
        <v>53006.616582207258</v>
      </c>
      <c r="AA8" s="163">
        <f t="shared" si="6"/>
        <v>148923.95724534278</v>
      </c>
      <c r="AB8" s="163">
        <f t="shared" si="7"/>
        <v>58874.263763375056</v>
      </c>
      <c r="AC8" s="163">
        <f t="shared" si="8"/>
        <v>63176.090257750606</v>
      </c>
      <c r="AD8" s="169">
        <f t="shared" si="9"/>
        <v>1.1106965046914048</v>
      </c>
      <c r="AE8" s="169">
        <f t="shared" si="10"/>
        <v>2.8095352400842</v>
      </c>
      <c r="AF8" s="169">
        <f t="shared" si="16"/>
        <v>1.1918529106601559</v>
      </c>
      <c r="AL8" s="161"/>
      <c r="AM8" s="161"/>
      <c r="AN8" s="161"/>
      <c r="AQ8" s="133"/>
      <c r="AR8" s="133"/>
    </row>
    <row r="9" spans="1:44" x14ac:dyDescent="0.35">
      <c r="A9" s="137" t="s">
        <v>125</v>
      </c>
      <c r="B9" s="137">
        <v>5500</v>
      </c>
      <c r="C9" s="146"/>
      <c r="D9" s="155">
        <f t="shared" si="11"/>
        <v>7000</v>
      </c>
      <c r="E9" s="155">
        <f>'Population vaccinated'!A9</f>
        <v>50</v>
      </c>
      <c r="F9" s="155">
        <f>'Population vaccinated'!B9</f>
        <v>54</v>
      </c>
      <c r="G9" s="173">
        <f>'Population vaccinated'!C9</f>
        <v>52</v>
      </c>
      <c r="H9" s="140">
        <f>'Population vaccinated'!O9*'Population vaccinated'!$P$25/'Population vaccinated'!$P$23</f>
        <v>442306.86167937628</v>
      </c>
      <c r="I9" s="140">
        <f>'Population vaccinated'!N9*'Population vaccinated'!$P$25/'Population vaccinated'!$P$23</f>
        <v>153227.7523137471</v>
      </c>
      <c r="J9" s="140">
        <f>'Population vaccinated'!M9*'Population vaccinated'!$P$25/'Population vaccinated'!$P$23</f>
        <v>2460234.9152603918</v>
      </c>
      <c r="K9" s="142">
        <f>'Death counts'!P9</f>
        <v>21.85807924656115</v>
      </c>
      <c r="L9" s="142">
        <f>'Death counts'!N9</f>
        <v>21.274542727986621</v>
      </c>
      <c r="M9" s="142">
        <f>'Death counts'!O9</f>
        <v>135.03933859612405</v>
      </c>
      <c r="N9" s="149">
        <f t="shared" si="17"/>
        <v>4.9418358927485615</v>
      </c>
      <c r="O9" s="149">
        <f t="shared" si="18"/>
        <v>13.884262091390045</v>
      </c>
      <c r="P9" s="149">
        <f t="shared" si="19"/>
        <v>5.4888798528343568</v>
      </c>
      <c r="Q9" s="149">
        <f t="shared" si="1"/>
        <v>5.9811025144355288</v>
      </c>
      <c r="R9" s="149">
        <f t="shared" si="12"/>
        <v>5.9932692307692319</v>
      </c>
      <c r="S9" s="135">
        <f t="shared" si="2"/>
        <v>4.9418358927485613E-5</v>
      </c>
      <c r="T9" s="135">
        <f t="shared" si="3"/>
        <v>1.3884262091390045E-4</v>
      </c>
      <c r="U9" s="135">
        <f t="shared" si="4"/>
        <v>5.4888798528343567E-5</v>
      </c>
      <c r="V9" s="158">
        <f>LOOKUP(G9,'ONS Life Tables 2017-19'!$A$3:$A$103,'ONS Life Tables 2017-19'!$G$3:$G$103)</f>
        <v>5.9932692307692315E-5</v>
      </c>
      <c r="W9" s="150">
        <f t="shared" si="13"/>
        <v>0.82456430746967802</v>
      </c>
      <c r="X9" s="150">
        <f t="shared" si="14"/>
        <v>2.316642479551684</v>
      </c>
      <c r="Y9" s="150">
        <f t="shared" si="15"/>
        <v>0.91584069419986047</v>
      </c>
      <c r="Z9" s="163">
        <f t="shared" si="5"/>
        <v>34592.851249239931</v>
      </c>
      <c r="AA9" s="163">
        <f t="shared" si="6"/>
        <v>97189.834639730325</v>
      </c>
      <c r="AB9" s="163">
        <f t="shared" si="7"/>
        <v>38422.158969840501</v>
      </c>
      <c r="AC9" s="163">
        <f t="shared" si="8"/>
        <v>41867.717601048702</v>
      </c>
      <c r="AD9" s="169">
        <f t="shared" si="9"/>
        <v>1.110696504691405</v>
      </c>
      <c r="AE9" s="169">
        <f t="shared" si="10"/>
        <v>2.8095352400842</v>
      </c>
      <c r="AF9" s="169">
        <f t="shared" si="16"/>
        <v>1.2102997032361886</v>
      </c>
      <c r="AL9" s="161"/>
      <c r="AM9" s="161"/>
      <c r="AN9" s="161"/>
      <c r="AQ9" s="133"/>
      <c r="AR9" s="133"/>
    </row>
    <row r="10" spans="1:44" x14ac:dyDescent="0.35">
      <c r="A10" s="137" t="s">
        <v>124</v>
      </c>
      <c r="B10" s="137">
        <v>6000</v>
      </c>
      <c r="C10" s="146"/>
      <c r="D10" s="155">
        <f t="shared" si="11"/>
        <v>7000</v>
      </c>
      <c r="E10" s="155">
        <f>'Population vaccinated'!A10</f>
        <v>45</v>
      </c>
      <c r="F10" s="155">
        <f>'Population vaccinated'!B10</f>
        <v>49</v>
      </c>
      <c r="G10" s="173">
        <f>'Population vaccinated'!C10</f>
        <v>47</v>
      </c>
      <c r="H10" s="140">
        <f>'Population vaccinated'!O10*'Population vaccinated'!$P$25/'Population vaccinated'!$P$23</f>
        <v>563264.70279853232</v>
      </c>
      <c r="I10" s="140">
        <f>'Population vaccinated'!N10*'Population vaccinated'!$P$25/'Population vaccinated'!$P$23</f>
        <v>529075.3337584089</v>
      </c>
      <c r="J10" s="140">
        <f>'Population vaccinated'!M10*'Population vaccinated'!$P$25/'Population vaccinated'!$P$23</f>
        <v>1776778.7049850458</v>
      </c>
      <c r="K10" s="142">
        <f>'Death counts'!P10</f>
        <v>21.329357844234469</v>
      </c>
      <c r="L10" s="142">
        <f>'Death counts'!N10</f>
        <v>56.288184596945698</v>
      </c>
      <c r="M10" s="142">
        <f>'Death counts'!O10</f>
        <v>74.729829135389181</v>
      </c>
      <c r="N10" s="149">
        <f t="shared" si="17"/>
        <v>3.7867378762172357</v>
      </c>
      <c r="O10" s="149">
        <f t="shared" si="18"/>
        <v>10.638973508193923</v>
      </c>
      <c r="P10" s="149">
        <f t="shared" si="19"/>
        <v>4.2059165232970388</v>
      </c>
      <c r="Q10" s="149">
        <f t="shared" si="1"/>
        <v>5.6819734263722719</v>
      </c>
      <c r="R10" s="149">
        <f t="shared" si="12"/>
        <v>4.0317307692307693</v>
      </c>
      <c r="S10" s="135">
        <f t="shared" si="2"/>
        <v>3.7867378762172358E-5</v>
      </c>
      <c r="T10" s="135">
        <f t="shared" si="3"/>
        <v>1.0638973508193922E-4</v>
      </c>
      <c r="U10" s="135">
        <f t="shared" si="4"/>
        <v>4.2059165232970384E-5</v>
      </c>
      <c r="V10" s="158">
        <f>LOOKUP(G10,'ONS Life Tables 2017-19'!$A$3:$A$103,'ONS Life Tables 2017-19'!$G$3:$G$103)</f>
        <v>4.0317307692307695E-5</v>
      </c>
      <c r="W10" s="150">
        <f t="shared" si="13"/>
        <v>0.93923381618552948</v>
      </c>
      <c r="X10" s="150">
        <f t="shared" si="14"/>
        <v>2.6388105052520099</v>
      </c>
      <c r="Y10" s="150">
        <f t="shared" si="15"/>
        <v>1.0432037167252373</v>
      </c>
      <c r="Z10" s="163">
        <f t="shared" si="5"/>
        <v>26507.165133520648</v>
      </c>
      <c r="AA10" s="163">
        <f t="shared" si="6"/>
        <v>74472.814557357458</v>
      </c>
      <c r="AB10" s="163">
        <f t="shared" si="7"/>
        <v>29441.415663079271</v>
      </c>
      <c r="AC10" s="163">
        <f t="shared" si="8"/>
        <v>39773.813984605906</v>
      </c>
      <c r="AD10" s="169">
        <f t="shared" si="9"/>
        <v>1.1106965046914052</v>
      </c>
      <c r="AE10" s="169">
        <f t="shared" si="10"/>
        <v>2.8095352400841995</v>
      </c>
      <c r="AF10" s="169">
        <f t="shared" si="16"/>
        <v>1.5004929340523256</v>
      </c>
      <c r="AL10" s="161"/>
      <c r="AM10" s="161"/>
      <c r="AN10" s="161"/>
      <c r="AQ10" s="133"/>
      <c r="AR10" s="133"/>
    </row>
    <row r="11" spans="1:44" x14ac:dyDescent="0.35">
      <c r="A11" s="137" t="s">
        <v>123</v>
      </c>
      <c r="B11" s="137">
        <v>6500</v>
      </c>
      <c r="C11" s="146"/>
      <c r="D11" s="155">
        <f t="shared" si="11"/>
        <v>7000</v>
      </c>
      <c r="E11" s="155">
        <f>'Population vaccinated'!A11</f>
        <v>40</v>
      </c>
      <c r="F11" s="155">
        <f>'Population vaccinated'!B11</f>
        <v>44</v>
      </c>
      <c r="G11" s="173">
        <f>'Population vaccinated'!C11</f>
        <v>42</v>
      </c>
      <c r="H11" s="140">
        <f>'Population vaccinated'!O11*'Population vaccinated'!$P$25/'Population vaccinated'!$P$23</f>
        <v>710535.06315129739</v>
      </c>
      <c r="I11" s="140">
        <f>'Population vaccinated'!N11*'Population vaccinated'!$P$25/'Population vaccinated'!$P$23</f>
        <v>749994.04101552605</v>
      </c>
      <c r="J11" s="140">
        <f>'Population vaccinated'!M11*'Population vaccinated'!$P$25/'Population vaccinated'!$P$23</f>
        <v>1280585.3863277363</v>
      </c>
      <c r="K11" s="142">
        <f>'Death counts'!P11</f>
        <v>19.483530939652237</v>
      </c>
      <c r="L11" s="142">
        <f>'Death counts'!N11</f>
        <v>57.779588958302405</v>
      </c>
      <c r="M11" s="142">
        <f>'Death counts'!O11</f>
        <v>39.001929954560964</v>
      </c>
      <c r="N11" s="149">
        <f t="shared" si="17"/>
        <v>2.7420928185078917</v>
      </c>
      <c r="O11" s="149">
        <f t="shared" si="18"/>
        <v>7.7040064051797277</v>
      </c>
      <c r="P11" s="149">
        <f t="shared" si="19"/>
        <v>3.0456329090561183</v>
      </c>
      <c r="Q11" s="149">
        <f t="shared" si="1"/>
        <v>4.7662020805307206</v>
      </c>
      <c r="R11" s="149">
        <f t="shared" si="12"/>
        <v>2.601923076923077</v>
      </c>
      <c r="S11" s="135">
        <f t="shared" si="2"/>
        <v>2.7420928185078915E-5</v>
      </c>
      <c r="T11" s="135">
        <f t="shared" si="3"/>
        <v>7.704006405179728E-5</v>
      </c>
      <c r="U11" s="135">
        <f t="shared" si="4"/>
        <v>3.0456329090561183E-5</v>
      </c>
      <c r="V11" s="158">
        <f>LOOKUP(G11,'ONS Life Tables 2017-19'!$A$3:$A$103,'ONS Life Tables 2017-19'!$G$3:$G$103)</f>
        <v>2.6019230769230771E-5</v>
      </c>
      <c r="W11" s="150">
        <f t="shared" si="13"/>
        <v>1.0538715932181104</v>
      </c>
      <c r="X11" s="150">
        <f t="shared" si="14"/>
        <v>2.960889379669962</v>
      </c>
      <c r="Y11" s="150">
        <f t="shared" si="15"/>
        <v>1.1705314949809176</v>
      </c>
      <c r="Z11" s="163">
        <f t="shared" si="5"/>
        <v>19194.64972955524</v>
      </c>
      <c r="AA11" s="163">
        <f t="shared" si="6"/>
        <v>53928.044836258094</v>
      </c>
      <c r="AB11" s="163">
        <f t="shared" si="7"/>
        <v>21319.430363392828</v>
      </c>
      <c r="AC11" s="163">
        <f t="shared" si="8"/>
        <v>33363.414563715043</v>
      </c>
      <c r="AD11" s="169">
        <f t="shared" si="9"/>
        <v>1.110696504691405</v>
      </c>
      <c r="AE11" s="169">
        <f t="shared" si="10"/>
        <v>2.8095352400841991</v>
      </c>
      <c r="AF11" s="169">
        <f t="shared" si="16"/>
        <v>1.7381621979974575</v>
      </c>
      <c r="AL11" s="161"/>
      <c r="AM11" s="161"/>
      <c r="AN11" s="161"/>
      <c r="AQ11" s="133"/>
      <c r="AR11" s="133"/>
    </row>
    <row r="12" spans="1:44" x14ac:dyDescent="0.35">
      <c r="A12" s="137" t="s">
        <v>122</v>
      </c>
      <c r="B12" s="137">
        <v>7000</v>
      </c>
      <c r="C12" s="146"/>
      <c r="D12" s="155">
        <f t="shared" si="11"/>
        <v>7000</v>
      </c>
      <c r="E12" s="155">
        <f>'Population vaccinated'!A12</f>
        <v>35</v>
      </c>
      <c r="F12" s="155">
        <f>'Population vaccinated'!B12</f>
        <v>39</v>
      </c>
      <c r="G12" s="173">
        <f>'Population vaccinated'!C12</f>
        <v>37</v>
      </c>
      <c r="H12" s="140">
        <f>'Population vaccinated'!O12*'Population vaccinated'!$P$25/'Population vaccinated'!$P$23</f>
        <v>974134.67672747781</v>
      </c>
      <c r="I12" s="140">
        <f>'Population vaccinated'!N12*'Population vaccinated'!$P$25/'Population vaccinated'!$P$23</f>
        <v>1113252.7348534095</v>
      </c>
      <c r="J12" s="140">
        <f>'Population vaccinated'!M12*'Population vaccinated'!$P$25/'Population vaccinated'!$P$23</f>
        <v>860243.69491275784</v>
      </c>
      <c r="K12" s="142">
        <f>'Death counts'!P12</f>
        <v>15.581583982574346</v>
      </c>
      <c r="L12" s="142">
        <f>'Death counts'!N12</f>
        <v>50.028888700994635</v>
      </c>
      <c r="M12" s="142">
        <f>'Death counts'!O12</f>
        <v>15.283031377058895</v>
      </c>
      <c r="N12" s="149">
        <f t="shared" si="17"/>
        <v>1.5995307789390423</v>
      </c>
      <c r="O12" s="149">
        <f t="shared" si="18"/>
        <v>4.4939380910285678</v>
      </c>
      <c r="P12" s="149">
        <f t="shared" si="19"/>
        <v>1.7765932453139146</v>
      </c>
      <c r="Q12" s="149">
        <f t="shared" si="1"/>
        <v>3.3094521526847713</v>
      </c>
      <c r="R12" s="149">
        <f t="shared" si="12"/>
        <v>1.8826923076923077</v>
      </c>
      <c r="S12" s="135">
        <f t="shared" si="2"/>
        <v>1.5995307789390422E-5</v>
      </c>
      <c r="T12" s="135">
        <f t="shared" si="3"/>
        <v>4.4939380910285679E-5</v>
      </c>
      <c r="U12" s="135">
        <f t="shared" si="4"/>
        <v>1.7765932453139147E-5</v>
      </c>
      <c r="V12" s="158">
        <f>LOOKUP(G12,'ONS Life Tables 2017-19'!$A$3:$A$103,'ONS Life Tables 2017-19'!$G$3:$G$103)</f>
        <v>1.8826923076923077E-5</v>
      </c>
      <c r="W12" s="150">
        <f t="shared" si="13"/>
        <v>0.84959755367548717</v>
      </c>
      <c r="X12" s="150">
        <f t="shared" si="14"/>
        <v>2.3869742669406082</v>
      </c>
      <c r="Y12" s="150">
        <f t="shared" si="15"/>
        <v>0.94364503326173199</v>
      </c>
      <c r="Z12" s="163">
        <f t="shared" si="5"/>
        <v>11196.715452573297</v>
      </c>
      <c r="AA12" s="163">
        <f t="shared" si="6"/>
        <v>31457.566637199976</v>
      </c>
      <c r="AB12" s="163">
        <f t="shared" si="7"/>
        <v>12436.152717197403</v>
      </c>
      <c r="AC12" s="163">
        <f t="shared" si="8"/>
        <v>23166.165068793398</v>
      </c>
      <c r="AD12" s="169">
        <f t="shared" si="9"/>
        <v>1.110696504691405</v>
      </c>
      <c r="AE12" s="169">
        <f t="shared" si="10"/>
        <v>2.8095352400841991</v>
      </c>
      <c r="AF12" s="169">
        <f t="shared" si="16"/>
        <v>2.0690143611240215</v>
      </c>
      <c r="AL12" s="161"/>
      <c r="AM12" s="161"/>
      <c r="AN12" s="161"/>
      <c r="AQ12" s="133"/>
      <c r="AR12" s="133"/>
    </row>
    <row r="13" spans="1:44" x14ac:dyDescent="0.35">
      <c r="A13" s="137" t="s">
        <v>121</v>
      </c>
      <c r="B13" s="137">
        <v>7000</v>
      </c>
      <c r="C13" s="146"/>
      <c r="D13" s="155">
        <f t="shared" si="11"/>
        <v>6500</v>
      </c>
      <c r="E13" s="155">
        <f>'Population vaccinated'!A13</f>
        <v>30</v>
      </c>
      <c r="F13" s="155">
        <f>'Population vaccinated'!B13</f>
        <v>34</v>
      </c>
      <c r="G13" s="173">
        <f>'Population vaccinated'!C13</f>
        <v>32</v>
      </c>
      <c r="H13" s="140">
        <f>'Population vaccinated'!O13*'Population vaccinated'!$P$25/'Population vaccinated'!$P$23</f>
        <v>1180777.7817602095</v>
      </c>
      <c r="I13" s="140">
        <f>'Population vaccinated'!N13*'Population vaccinated'!$P$25/'Population vaccinated'!$P$23</f>
        <v>1139026.6560076608</v>
      </c>
      <c r="J13" s="140">
        <f>'Population vaccinated'!M13*'Population vaccinated'!$P$25/'Population vaccinated'!$P$23</f>
        <v>695988.20697541011</v>
      </c>
      <c r="K13" s="142">
        <f>'Death counts'!P13</f>
        <v>11.50407732539451</v>
      </c>
      <c r="L13" s="142">
        <f>'Death counts'!N13</f>
        <v>31.178268384793668</v>
      </c>
      <c r="M13" s="142">
        <f>'Death counts'!O13</f>
        <v>7.531490031535176</v>
      </c>
      <c r="N13" s="149">
        <f t="shared" si="17"/>
        <v>0.97427962340595098</v>
      </c>
      <c r="O13" s="149">
        <f t="shared" si="18"/>
        <v>2.7372729356549819</v>
      </c>
      <c r="P13" s="149">
        <f t="shared" si="19"/>
        <v>1.0821289723090481</v>
      </c>
      <c r="Q13" s="149">
        <f t="shared" si="1"/>
        <v>2.1095065330098071</v>
      </c>
      <c r="R13" s="149">
        <f t="shared" si="12"/>
        <v>1.1461538461538463</v>
      </c>
      <c r="S13" s="135">
        <f t="shared" si="2"/>
        <v>9.7427962340595098E-6</v>
      </c>
      <c r="T13" s="135">
        <f t="shared" si="3"/>
        <v>2.7372729356549817E-5</v>
      </c>
      <c r="U13" s="135">
        <f t="shared" si="4"/>
        <v>1.0821289723090481E-5</v>
      </c>
      <c r="V13" s="158">
        <f>LOOKUP(G13,'ONS Life Tables 2017-19'!$A$3:$A$103,'ONS Life Tables 2017-19'!$G$3:$G$103)</f>
        <v>1.1461538461538462E-5</v>
      </c>
      <c r="W13" s="150">
        <f t="shared" si="13"/>
        <v>0.85004262444814516</v>
      </c>
      <c r="X13" s="150">
        <f t="shared" si="14"/>
        <v>2.3882247089607223</v>
      </c>
      <c r="Y13" s="150">
        <f t="shared" si="15"/>
        <v>0.94413937181326335</v>
      </c>
      <c r="Z13" s="163">
        <f t="shared" si="5"/>
        <v>6332.8175521386811</v>
      </c>
      <c r="AA13" s="163">
        <f t="shared" si="6"/>
        <v>17792.274081757383</v>
      </c>
      <c r="AB13" s="163">
        <f t="shared" si="7"/>
        <v>7033.8383200088128</v>
      </c>
      <c r="AC13" s="163">
        <f t="shared" si="8"/>
        <v>13711.792464563747</v>
      </c>
      <c r="AD13" s="169">
        <f t="shared" si="9"/>
        <v>1.110696504691405</v>
      </c>
      <c r="AE13" s="169">
        <f t="shared" si="10"/>
        <v>2.8095352400841995</v>
      </c>
      <c r="AF13" s="169">
        <f t="shared" si="16"/>
        <v>2.1651961945332028</v>
      </c>
      <c r="AL13" s="161"/>
      <c r="AM13" s="161"/>
      <c r="AN13" s="161"/>
      <c r="AQ13" s="133"/>
      <c r="AR13" s="133"/>
    </row>
    <row r="14" spans="1:44" x14ac:dyDescent="0.35">
      <c r="A14" s="137" t="s">
        <v>120</v>
      </c>
      <c r="B14" s="137">
        <v>7000</v>
      </c>
      <c r="C14" s="146"/>
      <c r="D14" s="155">
        <f t="shared" si="11"/>
        <v>6000</v>
      </c>
      <c r="E14" s="155">
        <f>'Population vaccinated'!A14</f>
        <v>25</v>
      </c>
      <c r="F14" s="155">
        <f>'Population vaccinated'!B14</f>
        <v>29</v>
      </c>
      <c r="G14" s="173">
        <f>'Population vaccinated'!C14</f>
        <v>27</v>
      </c>
      <c r="H14" s="140">
        <f>'Population vaccinated'!O14*'Population vaccinated'!$P$25/'Population vaccinated'!$P$23</f>
        <v>1321383.2197041675</v>
      </c>
      <c r="I14" s="140">
        <f>'Population vaccinated'!N14*'Population vaccinated'!$P$25/'Population vaccinated'!$P$23</f>
        <v>1084713.5532840155</v>
      </c>
      <c r="J14" s="140">
        <f>'Population vaccinated'!M14*'Population vaccinated'!$P$25/'Population vaccinated'!$P$23</f>
        <v>567779.24216320016</v>
      </c>
      <c r="K14" s="142">
        <f>'Death counts'!P14</f>
        <v>6.6795199548668167</v>
      </c>
      <c r="L14" s="142">
        <f>'Death counts'!N14</f>
        <v>15.405152954584796</v>
      </c>
      <c r="M14" s="142">
        <f>'Death counts'!O14</f>
        <v>3.1878023042565999</v>
      </c>
      <c r="N14" s="149">
        <f t="shared" si="17"/>
        <v>0.50549453445929438</v>
      </c>
      <c r="O14" s="149">
        <f t="shared" si="18"/>
        <v>1.4202047082333444</v>
      </c>
      <c r="P14" s="149">
        <f t="shared" si="19"/>
        <v>0.56145101256454721</v>
      </c>
      <c r="Q14" s="149">
        <f t="shared" si="1"/>
        <v>1.125145919550564</v>
      </c>
      <c r="R14" s="149">
        <f t="shared" si="12"/>
        <v>0.81153846153846143</v>
      </c>
      <c r="S14" s="135">
        <f t="shared" si="2"/>
        <v>5.0549453445929441E-6</v>
      </c>
      <c r="T14" s="135">
        <f t="shared" si="3"/>
        <v>1.4202047082333445E-5</v>
      </c>
      <c r="U14" s="135">
        <f t="shared" si="4"/>
        <v>5.6145101256454725E-6</v>
      </c>
      <c r="V14" s="158">
        <f>LOOKUP(G14,'ONS Life Tables 2017-19'!$A$3:$A$103,'ONS Life Tables 2017-19'!$G$3:$G$103)</f>
        <v>8.1153846153846148E-6</v>
      </c>
      <c r="W14" s="150">
        <f t="shared" si="13"/>
        <v>0.62288426047116852</v>
      </c>
      <c r="X14" s="150">
        <f t="shared" si="14"/>
        <v>1.7500152802875335</v>
      </c>
      <c r="Y14" s="150">
        <f t="shared" si="15"/>
        <v>0.69183537093261749</v>
      </c>
      <c r="Z14" s="163">
        <f t="shared" si="5"/>
        <v>3032.9672067557663</v>
      </c>
      <c r="AA14" s="163">
        <f t="shared" si="6"/>
        <v>8521.2282494000665</v>
      </c>
      <c r="AB14" s="163">
        <f t="shared" si="7"/>
        <v>3368.7060753872834</v>
      </c>
      <c r="AC14" s="163">
        <f t="shared" si="8"/>
        <v>6750.8755173033842</v>
      </c>
      <c r="AD14" s="169">
        <f t="shared" si="9"/>
        <v>1.110696504691405</v>
      </c>
      <c r="AE14" s="169">
        <f t="shared" si="10"/>
        <v>2.8095352400842</v>
      </c>
      <c r="AF14" s="169">
        <f t="shared" si="16"/>
        <v>2.2258320176578841</v>
      </c>
      <c r="AL14" s="161"/>
      <c r="AM14" s="161"/>
      <c r="AN14" s="161"/>
      <c r="AQ14" s="133"/>
      <c r="AR14" s="133"/>
    </row>
    <row r="15" spans="1:44" x14ac:dyDescent="0.35">
      <c r="A15" s="137" t="s">
        <v>119</v>
      </c>
      <c r="B15" s="137">
        <v>7000</v>
      </c>
      <c r="C15" s="146"/>
      <c r="D15" s="155">
        <f>B18+B19*3/5</f>
        <v>9300</v>
      </c>
      <c r="E15" s="155">
        <f>'Population vaccinated'!A15</f>
        <v>18</v>
      </c>
      <c r="F15" s="155">
        <f>'Population vaccinated'!B15</f>
        <v>24</v>
      </c>
      <c r="G15" s="173">
        <f>'Population vaccinated'!C15</f>
        <v>21</v>
      </c>
      <c r="H15" s="140">
        <f>'Population vaccinated'!O15*'Population vaccinated'!$P$25/'Population vaccinated'!$P$23</f>
        <v>2297199.1417759908</v>
      </c>
      <c r="I15" s="140">
        <f>'Population vaccinated'!N15*'Population vaccinated'!$P$25/'Population vaccinated'!$P$23</f>
        <v>997220.85149549786</v>
      </c>
      <c r="J15" s="140">
        <f>'Population vaccinated'!M15*'Population vaccinated'!$P$25/'Population vaccinated'!$P$23</f>
        <v>426476.61217569467</v>
      </c>
      <c r="K15" s="142">
        <f>'Death counts'!P15</f>
        <v>14.427589957886875</v>
      </c>
      <c r="L15" s="142">
        <f>'Death counts'!N15</f>
        <v>17.596284706000318</v>
      </c>
      <c r="M15" s="142">
        <f>'Death counts'!O15</f>
        <v>2.9749917812699911</v>
      </c>
      <c r="N15" s="149">
        <f t="shared" si="17"/>
        <v>0.6280513384979215</v>
      </c>
      <c r="O15" s="149">
        <f t="shared" si="18"/>
        <v>1.7645323680919602</v>
      </c>
      <c r="P15" s="149">
        <f t="shared" si="19"/>
        <v>0.69757442643639977</v>
      </c>
      <c r="Q15" s="149">
        <f t="shared" si="1"/>
        <v>1.4449190935709437</v>
      </c>
      <c r="R15" s="149">
        <f t="shared" si="12"/>
        <v>0.67211538461538456</v>
      </c>
      <c r="S15" s="135">
        <f t="shared" si="2"/>
        <v>6.2805133849792147E-6</v>
      </c>
      <c r="T15" s="135">
        <f t="shared" si="3"/>
        <v>1.7645323680919603E-5</v>
      </c>
      <c r="U15" s="135">
        <f t="shared" si="4"/>
        <v>6.9757442643639976E-6</v>
      </c>
      <c r="V15" s="158">
        <f>LOOKUP(G15,'ONS Life Tables 2017-19'!$A$3:$A$103,'ONS Life Tables 2017-19'!$G$3:$G$103)</f>
        <v>6.7211538461538455E-6</v>
      </c>
      <c r="W15" s="150">
        <f t="shared" si="13"/>
        <v>0.93443975971078452</v>
      </c>
      <c r="X15" s="150">
        <f t="shared" si="14"/>
        <v>2.6253414346432602</v>
      </c>
      <c r="Y15" s="150">
        <f t="shared" si="15"/>
        <v>1.0378789749554447</v>
      </c>
      <c r="Z15" s="163">
        <f t="shared" si="5"/>
        <v>5840.8774480306702</v>
      </c>
      <c r="AA15" s="163">
        <f t="shared" si="6"/>
        <v>16410.151023255232</v>
      </c>
      <c r="AB15" s="163">
        <f t="shared" si="7"/>
        <v>6487.4421658585179</v>
      </c>
      <c r="AC15" s="163">
        <f t="shared" si="8"/>
        <v>13437.747570209776</v>
      </c>
      <c r="AD15" s="169">
        <f t="shared" si="9"/>
        <v>1.1106965046914048</v>
      </c>
      <c r="AE15" s="169">
        <f t="shared" si="10"/>
        <v>2.8095352400841986</v>
      </c>
      <c r="AF15" s="169">
        <f t="shared" si="16"/>
        <v>2.3006385067607424</v>
      </c>
      <c r="AL15" s="161"/>
      <c r="AM15" s="161"/>
      <c r="AN15" s="161"/>
      <c r="AQ15" s="133"/>
      <c r="AR15" s="133"/>
    </row>
    <row r="16" spans="1:44" x14ac:dyDescent="0.35">
      <c r="A16" s="137" t="s">
        <v>118</v>
      </c>
      <c r="B16" s="137">
        <v>6500</v>
      </c>
      <c r="C16" s="146"/>
      <c r="D16" s="155">
        <f>2*B19/5+B20</f>
        <v>7700</v>
      </c>
      <c r="E16" s="155">
        <f>'Population vaccinated'!A16</f>
        <v>10</v>
      </c>
      <c r="F16" s="155">
        <f>'Population vaccinated'!B16</f>
        <v>17</v>
      </c>
      <c r="G16" s="173">
        <f>'Population vaccinated'!C16</f>
        <v>13.5</v>
      </c>
      <c r="H16" s="140">
        <f>'Population vaccinated'!O16*'Population vaccinated'!$P$25/'Population vaccinated'!$P$23</f>
        <v>4125352.6414177055</v>
      </c>
      <c r="I16" s="140">
        <f>'Population vaccinated'!N16*'Population vaccinated'!$P$25/'Population vaccinated'!$P$23</f>
        <v>36344.849364534799</v>
      </c>
      <c r="J16" s="140">
        <f>'Population vaccinated'!M16*'Population vaccinated'!$P$25/'Population vaccinated'!$P$23</f>
        <v>21450.776013224408</v>
      </c>
      <c r="K16" s="142">
        <f>'Death counts'!P16</f>
        <v>11.994840150101375</v>
      </c>
      <c r="L16" s="142">
        <f>'Death counts'!N16</f>
        <v>0.296900372936788</v>
      </c>
      <c r="M16" s="142">
        <f>'Death counts'!O16</f>
        <v>6.9274244688489112E-2</v>
      </c>
      <c r="N16" s="149">
        <f t="shared" si="17"/>
        <v>0.29075914697996014</v>
      </c>
      <c r="O16" s="149">
        <f t="shared" si="18"/>
        <v>0.8168980698170194</v>
      </c>
      <c r="P16" s="149">
        <f t="shared" si="19"/>
        <v>0.32294516825769626</v>
      </c>
      <c r="Q16" s="149">
        <f t="shared" si="1"/>
        <v>0.63356805161621743</v>
      </c>
      <c r="R16" s="149">
        <f t="shared" si="12"/>
        <v>0.19615384615384618</v>
      </c>
      <c r="S16" s="135">
        <f t="shared" si="2"/>
        <v>2.9075914697996014E-6</v>
      </c>
      <c r="T16" s="135">
        <f t="shared" si="3"/>
        <v>8.1689806981701945E-6</v>
      </c>
      <c r="U16" s="135">
        <f t="shared" si="4"/>
        <v>3.2294516825769624E-6</v>
      </c>
      <c r="V16" s="158">
        <f>LOOKUP(G16,'ONS Life Tables 2017-19'!$A$3:$A$103,'ONS Life Tables 2017-19'!$G$3:$G$103)</f>
        <v>1.9615384615384617E-6</v>
      </c>
      <c r="W16" s="150">
        <f t="shared" si="13"/>
        <v>1.4823015336233261</v>
      </c>
      <c r="X16" s="150">
        <f t="shared" si="14"/>
        <v>4.1645783951455888</v>
      </c>
      <c r="Y16" s="150">
        <f t="shared" si="15"/>
        <v>1.6463871322941377</v>
      </c>
      <c r="Z16" s="163">
        <f t="shared" si="5"/>
        <v>2238.8454317456931</v>
      </c>
      <c r="AA16" s="163">
        <f t="shared" si="6"/>
        <v>6290.1151375910495</v>
      </c>
      <c r="AB16" s="163">
        <f t="shared" si="7"/>
        <v>2486.6777955842613</v>
      </c>
      <c r="AC16" s="163">
        <f t="shared" si="8"/>
        <v>4878.4739974448739</v>
      </c>
      <c r="AD16" s="169">
        <f t="shared" si="9"/>
        <v>1.1106965046914052</v>
      </c>
      <c r="AE16" s="169">
        <f t="shared" si="10"/>
        <v>2.8095352400841995</v>
      </c>
      <c r="AF16" s="169">
        <f t="shared" si="16"/>
        <v>2.1790133111784256</v>
      </c>
      <c r="AL16" s="161"/>
      <c r="AM16" s="161"/>
      <c r="AN16" s="161"/>
      <c r="AQ16" s="133"/>
      <c r="AR16" s="133"/>
    </row>
    <row r="17" spans="1:44" x14ac:dyDescent="0.35">
      <c r="A17" s="137" t="s">
        <v>117</v>
      </c>
      <c r="B17" s="137">
        <v>6000</v>
      </c>
      <c r="C17" s="147" t="s">
        <v>105</v>
      </c>
      <c r="D17" s="156">
        <f>SUM(D3:D16)</f>
        <v>89500</v>
      </c>
      <c r="E17" s="146"/>
      <c r="F17" s="146"/>
      <c r="G17" s="144" t="s">
        <v>218</v>
      </c>
      <c r="H17" s="141">
        <f>SUM(H3:H16)</f>
        <v>12690175.278147079</v>
      </c>
      <c r="I17" s="141">
        <f>SUM(I3:I16)</f>
        <v>6158235.8945567282</v>
      </c>
      <c r="J17" s="141">
        <f>SUM(J3:J16)</f>
        <v>20396915.827296201</v>
      </c>
      <c r="K17" s="143">
        <f>SUM(K3:K16)</f>
        <v>435.99999999999994</v>
      </c>
      <c r="L17" s="143">
        <f t="shared" ref="L17:M17" si="20">SUM(L3:L16)</f>
        <v>576</v>
      </c>
      <c r="M17" s="143">
        <f t="shared" si="20"/>
        <v>5943.9999999999991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64" t="s">
        <v>136</v>
      </c>
      <c r="Z17" s="165">
        <f>SUM(Z3:Z16)/$D$17</f>
        <v>15.406555338073096</v>
      </c>
      <c r="AA17" s="165">
        <f>SUM(AA3:AA16)/$D$17</f>
        <v>43.285260150623706</v>
      </c>
      <c r="AB17" s="165">
        <f>SUM(AB3:AB16)/$D$17</f>
        <v>17.1120071633325</v>
      </c>
      <c r="AC17" s="165">
        <f>SUM(AC3:AC16)/D17</f>
        <v>18.273628083748399</v>
      </c>
      <c r="AD17" s="1"/>
      <c r="AE17" s="1"/>
      <c r="AL17" s="161"/>
      <c r="AM17" s="161"/>
      <c r="AN17" s="161"/>
      <c r="AO17" s="161"/>
      <c r="AP17" s="161"/>
      <c r="AQ17" s="133"/>
      <c r="AR17" s="133"/>
    </row>
    <row r="18" spans="1:44" x14ac:dyDescent="0.35">
      <c r="A18" s="137" t="s">
        <v>116</v>
      </c>
      <c r="B18" s="137">
        <v>6000</v>
      </c>
      <c r="C18" s="146"/>
      <c r="D18" s="146"/>
      <c r="E18" s="146"/>
      <c r="F18" s="146"/>
      <c r="G18" s="144" t="s">
        <v>219</v>
      </c>
      <c r="H18" s="141"/>
      <c r="I18" s="141"/>
      <c r="J18" s="141">
        <f>SUM(H17:J17)</f>
        <v>39245327.000000007</v>
      </c>
      <c r="K18" s="143"/>
      <c r="L18" s="143"/>
      <c r="M18" s="143">
        <f>SUM(K17:M17)</f>
        <v>6955.9999999999991</v>
      </c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64" t="s">
        <v>225</v>
      </c>
      <c r="Z18" s="165">
        <f>'ONS Table 5'!F31</f>
        <v>23.65239437</v>
      </c>
      <c r="AA18" s="165">
        <f>'ONS Table 5'!T31</f>
        <v>87.225863759999996</v>
      </c>
      <c r="AB18" s="165">
        <f>'ONS Table 5'!AA31</f>
        <v>14.57851988</v>
      </c>
      <c r="AC18" s="197" t="s">
        <v>4</v>
      </c>
      <c r="AD18" s="1"/>
      <c r="AE18" s="1"/>
      <c r="AL18" s="161"/>
      <c r="AM18" s="133"/>
      <c r="AN18" s="133"/>
      <c r="AO18" s="133"/>
      <c r="AP18" s="133"/>
      <c r="AQ18" s="133"/>
      <c r="AR18" s="133"/>
    </row>
    <row r="19" spans="1:44" x14ac:dyDescent="0.35">
      <c r="A19" s="137" t="s">
        <v>115</v>
      </c>
      <c r="B19" s="137">
        <v>5500</v>
      </c>
      <c r="C19" s="73"/>
      <c r="D19" s="73"/>
      <c r="E19" s="73"/>
      <c r="F19" s="73"/>
      <c r="G19" s="1"/>
      <c r="J19" s="148" t="s">
        <v>55</v>
      </c>
      <c r="K19" s="157">
        <f>K17/H17</f>
        <v>3.4357287464012179E-5</v>
      </c>
      <c r="L19" s="157">
        <f>L17/I17</f>
        <v>9.3533279637619444E-5</v>
      </c>
      <c r="M19" s="157">
        <f>M17/J17</f>
        <v>2.9141660682079361E-4</v>
      </c>
      <c r="AB19" s="1"/>
      <c r="AC19" s="1"/>
      <c r="AD19" s="1"/>
      <c r="AL19" s="133"/>
      <c r="AM19" s="133"/>
      <c r="AN19" s="133"/>
      <c r="AO19" s="133"/>
      <c r="AP19" s="133"/>
      <c r="AQ19" s="133"/>
      <c r="AR19" s="133"/>
    </row>
    <row r="20" spans="1:44" x14ac:dyDescent="0.35">
      <c r="A20" s="137" t="s">
        <v>114</v>
      </c>
      <c r="B20" s="137">
        <v>5500</v>
      </c>
      <c r="C20" s="73"/>
      <c r="D20" s="73"/>
      <c r="E20" s="73"/>
      <c r="F20" s="73"/>
      <c r="G20" s="1"/>
      <c r="H20" s="73"/>
      <c r="I20" s="138"/>
      <c r="Z20" s="102"/>
      <c r="AA20" s="102"/>
      <c r="AB20" s="1"/>
      <c r="AC20" s="1"/>
      <c r="AD20" s="1"/>
      <c r="AL20" s="161"/>
      <c r="AM20" s="133"/>
      <c r="AN20" s="133"/>
      <c r="AO20" s="133"/>
      <c r="AP20" s="133"/>
      <c r="AQ20" s="133"/>
      <c r="AR20" s="133"/>
    </row>
    <row r="21" spans="1:44" x14ac:dyDescent="0.35">
      <c r="A21" s="137" t="s">
        <v>113</v>
      </c>
      <c r="B21" s="137">
        <v>5500</v>
      </c>
      <c r="C21" s="73"/>
      <c r="D21" s="73"/>
      <c r="E21" s="73"/>
      <c r="F21" s="73"/>
      <c r="G21" s="1"/>
      <c r="Y21" s="82"/>
      <c r="AB21" s="1"/>
      <c r="AC21" s="1"/>
      <c r="AD21" s="1"/>
      <c r="AL21" s="133"/>
      <c r="AM21" s="133"/>
      <c r="AN21" s="133"/>
      <c r="AO21" s="133"/>
      <c r="AP21" s="133"/>
      <c r="AQ21" s="133"/>
      <c r="AR21" s="133"/>
    </row>
    <row r="22" spans="1:44" x14ac:dyDescent="0.35">
      <c r="A22" s="137" t="s">
        <v>112</v>
      </c>
      <c r="B22" s="137">
        <v>4000</v>
      </c>
      <c r="C22" s="73"/>
      <c r="D22" s="73"/>
      <c r="E22" s="73"/>
      <c r="F22" s="73"/>
      <c r="G22" s="1"/>
      <c r="N22" s="82"/>
      <c r="O22" s="100"/>
      <c r="P22" s="82"/>
      <c r="U22" s="82"/>
      <c r="V22" s="82"/>
      <c r="W22" s="82"/>
      <c r="X22" s="82"/>
    </row>
    <row r="23" spans="1:44" x14ac:dyDescent="0.35">
      <c r="A23" s="137" t="s">
        <v>111</v>
      </c>
      <c r="B23" s="137">
        <v>1000</v>
      </c>
      <c r="C23" s="73"/>
      <c r="D23" s="73"/>
      <c r="E23" s="73"/>
      <c r="F23" s="73"/>
      <c r="G23" s="1"/>
      <c r="U23" s="82"/>
    </row>
    <row r="24" spans="1:44" x14ac:dyDescent="0.35">
      <c r="A24" s="136" t="s">
        <v>105</v>
      </c>
      <c r="B24" s="136">
        <v>100000</v>
      </c>
      <c r="C24" s="73"/>
      <c r="E24" s="73"/>
      <c r="F24" s="73"/>
      <c r="U24" s="82"/>
    </row>
    <row r="25" spans="1:44" x14ac:dyDescent="0.35">
      <c r="A25" s="1"/>
      <c r="B25" s="1"/>
      <c r="C25" s="73"/>
      <c r="D25" s="73"/>
      <c r="E25" s="73"/>
      <c r="F25" s="73"/>
      <c r="U25" s="82"/>
    </row>
    <row r="26" spans="1:44" x14ac:dyDescent="0.35">
      <c r="U26" s="82"/>
    </row>
    <row r="27" spans="1:44" x14ac:dyDescent="0.35">
      <c r="A27" t="s">
        <v>269</v>
      </c>
      <c r="K27" s="73"/>
      <c r="L27" s="73"/>
      <c r="M27" s="73"/>
      <c r="U27" s="82"/>
    </row>
    <row r="28" spans="1:44" x14ac:dyDescent="0.35">
      <c r="A28" s="94" t="s">
        <v>270</v>
      </c>
      <c r="U28" s="82"/>
    </row>
    <row r="29" spans="1:44" x14ac:dyDescent="0.35">
      <c r="U29" s="82"/>
    </row>
    <row r="30" spans="1:44" x14ac:dyDescent="0.35">
      <c r="U30" s="82"/>
    </row>
    <row r="31" spans="1:44" x14ac:dyDescent="0.35">
      <c r="M31" s="73"/>
      <c r="U31" s="82"/>
    </row>
    <row r="32" spans="1:44" x14ac:dyDescent="0.35">
      <c r="U32" s="82"/>
    </row>
    <row r="33" spans="12:21" x14ac:dyDescent="0.35">
      <c r="U33" s="82"/>
    </row>
    <row r="34" spans="12:21" x14ac:dyDescent="0.35">
      <c r="U34" s="82"/>
    </row>
    <row r="35" spans="12:21" x14ac:dyDescent="0.35">
      <c r="S35" s="82"/>
      <c r="T35" s="82"/>
      <c r="U35" s="82"/>
    </row>
    <row r="36" spans="12:21" x14ac:dyDescent="0.35">
      <c r="L36" s="101"/>
      <c r="S36" s="82"/>
    </row>
    <row r="37" spans="12:21" x14ac:dyDescent="0.35">
      <c r="S37" s="82"/>
    </row>
    <row r="38" spans="12:21" x14ac:dyDescent="0.35">
      <c r="S38" s="82"/>
    </row>
    <row r="39" spans="12:21" x14ac:dyDescent="0.35">
      <c r="S39" s="82"/>
    </row>
    <row r="40" spans="12:21" x14ac:dyDescent="0.35">
      <c r="S40" s="82"/>
    </row>
  </sheetData>
  <sortState xmlns:xlrd2="http://schemas.microsoft.com/office/spreadsheetml/2017/richdata2" ref="A3:B23">
    <sortCondition descending="1" ref="A3:A23"/>
  </sortState>
  <mergeCells count="10">
    <mergeCell ref="AD1:AF1"/>
    <mergeCell ref="V1:V2"/>
    <mergeCell ref="W1:Y1"/>
    <mergeCell ref="Z1:AC1"/>
    <mergeCell ref="D1:D2"/>
    <mergeCell ref="H1:J1"/>
    <mergeCell ref="K1:M1"/>
    <mergeCell ref="N1:P1"/>
    <mergeCell ref="S1:U1"/>
    <mergeCell ref="R1:R2"/>
  </mergeCells>
  <hyperlinks>
    <hyperlink ref="A28" r:id="rId1" xr:uid="{45E14A32-ABE0-4E74-B096-A08CDE0396D3}"/>
  </hyperlinks>
  <pageMargins left="0.7" right="0.7" top="0.75" bottom="0.75" header="0.3" footer="0.3"/>
  <pageSetup paperSize="9" orientation="portrait" r:id="rId2"/>
  <ignoredErrors>
    <ignoredError sqref="A20" twoDigitTextYear="1"/>
    <ignoredError sqref="D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AA8F-A42D-4585-92F4-B12532E7DF8F}">
  <dimension ref="A1:AE38"/>
  <sheetViews>
    <sheetView workbookViewId="0">
      <selection activeCell="AB4" sqref="AB4"/>
    </sheetView>
  </sheetViews>
  <sheetFormatPr defaultRowHeight="14.5" x14ac:dyDescent="0.35"/>
  <cols>
    <col min="1" max="1" width="14.453125" customWidth="1"/>
    <col min="2" max="2" width="20" style="1" customWidth="1"/>
    <col min="3" max="3" width="20" customWidth="1"/>
    <col min="4" max="4" width="20" style="1" customWidth="1"/>
    <col min="5" max="7" width="20" customWidth="1"/>
    <col min="8" max="9" width="20" style="1" customWidth="1"/>
    <col min="10" max="12" width="20" customWidth="1"/>
    <col min="13" max="14" width="20" style="1" customWidth="1"/>
    <col min="15" max="17" width="20" customWidth="1"/>
    <col min="18" max="19" width="20" style="1" customWidth="1"/>
    <col min="20" max="24" width="20" customWidth="1"/>
    <col min="25" max="28" width="16.54296875" customWidth="1"/>
  </cols>
  <sheetData>
    <row r="1" spans="1:31" s="82" customFormat="1" x14ac:dyDescent="0.35">
      <c r="A1" s="210"/>
      <c r="B1" s="211"/>
      <c r="C1" s="317" t="s">
        <v>7</v>
      </c>
      <c r="D1" s="288"/>
      <c r="E1" s="288"/>
      <c r="F1" s="288"/>
      <c r="G1" s="318" t="s">
        <v>1</v>
      </c>
      <c r="H1" s="288"/>
      <c r="I1" s="288"/>
      <c r="J1" s="288"/>
      <c r="K1" s="288"/>
      <c r="L1" s="319" t="s">
        <v>8</v>
      </c>
      <c r="M1" s="288"/>
      <c r="N1" s="288"/>
      <c r="O1" s="288"/>
      <c r="P1" s="288"/>
      <c r="Q1" s="317" t="s">
        <v>9</v>
      </c>
      <c r="R1" s="288"/>
      <c r="S1" s="288"/>
      <c r="T1" s="288"/>
      <c r="U1" s="288"/>
      <c r="V1" s="212"/>
      <c r="W1" s="212"/>
      <c r="X1" s="212"/>
      <c r="Y1" s="320" t="s">
        <v>255</v>
      </c>
      <c r="Z1" s="300"/>
      <c r="AA1" s="300"/>
      <c r="AB1" s="300"/>
    </row>
    <row r="2" spans="1:31" s="82" customFormat="1" x14ac:dyDescent="0.35">
      <c r="A2" s="210" t="s">
        <v>11</v>
      </c>
      <c r="B2" s="213" t="s">
        <v>251</v>
      </c>
      <c r="C2" s="213" t="s">
        <v>69</v>
      </c>
      <c r="D2" s="213" t="s">
        <v>56</v>
      </c>
      <c r="E2" s="213" t="s">
        <v>252</v>
      </c>
      <c r="F2" s="213" t="s">
        <v>68</v>
      </c>
      <c r="G2" s="214" t="s">
        <v>251</v>
      </c>
      <c r="H2" s="214" t="s">
        <v>69</v>
      </c>
      <c r="I2" s="214" t="s">
        <v>56</v>
      </c>
      <c r="J2" s="214" t="s">
        <v>252</v>
      </c>
      <c r="K2" s="214" t="s">
        <v>68</v>
      </c>
      <c r="L2" s="215" t="s">
        <v>81</v>
      </c>
      <c r="M2" s="215" t="s">
        <v>69</v>
      </c>
      <c r="N2" s="215" t="s">
        <v>56</v>
      </c>
      <c r="O2" s="215" t="s">
        <v>252</v>
      </c>
      <c r="P2" s="215" t="s">
        <v>250</v>
      </c>
      <c r="Q2" s="213" t="s">
        <v>251</v>
      </c>
      <c r="R2" s="213" t="s">
        <v>69</v>
      </c>
      <c r="S2" s="213" t="s">
        <v>56</v>
      </c>
      <c r="T2" s="213" t="s">
        <v>252</v>
      </c>
      <c r="U2" s="213" t="s">
        <v>250</v>
      </c>
      <c r="V2" s="212" t="s">
        <v>66</v>
      </c>
      <c r="W2" s="212" t="s">
        <v>67</v>
      </c>
      <c r="X2" s="212" t="s">
        <v>68</v>
      </c>
      <c r="Y2" s="231" t="s">
        <v>7</v>
      </c>
      <c r="Z2" s="231" t="s">
        <v>256</v>
      </c>
      <c r="AA2" s="231" t="s">
        <v>74</v>
      </c>
      <c r="AB2" s="231" t="s">
        <v>9</v>
      </c>
    </row>
    <row r="3" spans="1:31" x14ac:dyDescent="0.35">
      <c r="A3" s="226">
        <v>1</v>
      </c>
      <c r="B3" s="208">
        <v>4788</v>
      </c>
      <c r="C3" s="218">
        <v>7412</v>
      </c>
      <c r="D3" s="208">
        <f>B3+C3</f>
        <v>12200</v>
      </c>
      <c r="E3" s="218">
        <v>37803666</v>
      </c>
      <c r="F3" s="219">
        <f>100000*D3/E3</f>
        <v>32.272002403153174</v>
      </c>
      <c r="G3" s="207">
        <f>'ONS Table 4'!J6</f>
        <v>157</v>
      </c>
      <c r="H3" s="207">
        <f>'ONS Table 5'!K6</f>
        <v>378</v>
      </c>
      <c r="I3" s="207">
        <f>G3+H3</f>
        <v>535</v>
      </c>
      <c r="J3" s="220">
        <v>1199228</v>
      </c>
      <c r="K3" s="224">
        <f>I3/J3*100000</f>
        <v>44.612033741707165</v>
      </c>
      <c r="L3" s="209">
        <f>'ONS Table 4'!Q6</f>
        <v>37</v>
      </c>
      <c r="M3" s="209">
        <f>'ONS Table 5'!R6</f>
        <v>42</v>
      </c>
      <c r="N3" s="209">
        <f>L3+M3</f>
        <v>79</v>
      </c>
      <c r="O3" s="221">
        <v>89296</v>
      </c>
      <c r="P3" s="225">
        <f>N3/O3*100000</f>
        <v>88.469808278086361</v>
      </c>
      <c r="Q3" s="208">
        <f>'ONS Table 4'!X6</f>
        <v>1</v>
      </c>
      <c r="R3" s="208">
        <f>'ONS Table 5'!Y6</f>
        <v>17</v>
      </c>
      <c r="S3" s="208">
        <f>Q3+R3</f>
        <v>18</v>
      </c>
      <c r="T3" s="208">
        <v>267629</v>
      </c>
      <c r="U3" s="208">
        <f>S3/T3*100000</f>
        <v>6.725728527177548</v>
      </c>
      <c r="V3" s="222">
        <f>J3+O3+T3</f>
        <v>1556153</v>
      </c>
      <c r="W3" s="222">
        <f>I3+N3+S3</f>
        <v>632</v>
      </c>
      <c r="X3" s="223">
        <f>100000*W3/V3</f>
        <v>40.61297314595673</v>
      </c>
      <c r="Y3" s="232">
        <f t="shared" ref="Y3:Y28" si="0">B3/D3</f>
        <v>0.39245901639344261</v>
      </c>
      <c r="Z3" s="232">
        <f>G3/I3</f>
        <v>0.29345794392523367</v>
      </c>
      <c r="AA3" s="232">
        <f>L3/N3</f>
        <v>0.46835443037974683</v>
      </c>
      <c r="AB3" s="232">
        <f>Q3/S3</f>
        <v>5.5555555555555552E-2</v>
      </c>
    </row>
    <row r="4" spans="1:31" x14ac:dyDescent="0.35">
      <c r="A4" s="217">
        <v>2</v>
      </c>
      <c r="B4" s="208">
        <v>6089</v>
      </c>
      <c r="C4" s="218">
        <v>6900</v>
      </c>
      <c r="D4" s="208">
        <f t="shared" ref="D4:D28" si="1">B4+C4</f>
        <v>12989</v>
      </c>
      <c r="E4" s="218">
        <v>36511424</v>
      </c>
      <c r="F4" s="219">
        <f t="shared" ref="F4:F28" si="2">100000*D4/E4</f>
        <v>35.575166829976283</v>
      </c>
      <c r="G4" s="207">
        <f>'ONS Table 4'!J7</f>
        <v>309</v>
      </c>
      <c r="H4" s="207">
        <f>'ONS Table 5'!K7</f>
        <v>690</v>
      </c>
      <c r="I4" s="207">
        <f t="shared" ref="I4:I28" si="3">G4+H4</f>
        <v>999</v>
      </c>
      <c r="J4" s="220">
        <v>2110062</v>
      </c>
      <c r="K4" s="224">
        <f t="shared" ref="K4:K28" si="4">I4/J4*100000</f>
        <v>47.344580396215846</v>
      </c>
      <c r="L4" s="209">
        <f>'ONS Table 4'!Q7</f>
        <v>183</v>
      </c>
      <c r="M4" s="209">
        <f>'ONS Table 5'!R7</f>
        <v>195</v>
      </c>
      <c r="N4" s="209">
        <f t="shared" ref="N4:N28" si="5">L4+M4</f>
        <v>378</v>
      </c>
      <c r="O4" s="221">
        <v>335607</v>
      </c>
      <c r="P4" s="225">
        <f t="shared" ref="P4:P28" si="6">N4/O4*100000</f>
        <v>112.63173890890238</v>
      </c>
      <c r="Q4" s="208">
        <f>'ONS Table 4'!X7</f>
        <v>14</v>
      </c>
      <c r="R4" s="208">
        <f>'ONS Table 5'!Y7</f>
        <v>87</v>
      </c>
      <c r="S4" s="208">
        <f t="shared" ref="S4:S28" si="7">Q4+R4</f>
        <v>101</v>
      </c>
      <c r="T4" s="208">
        <v>399963</v>
      </c>
      <c r="U4" s="208">
        <f t="shared" ref="U4:U28" si="8">S4/T4*100000</f>
        <v>25.2523358410653</v>
      </c>
      <c r="V4" s="222">
        <f t="shared" ref="V4:V28" si="9">J4+O4+T4</f>
        <v>2845632</v>
      </c>
      <c r="W4" s="222">
        <f t="shared" ref="W4:W28" si="10">I4+N4+S4</f>
        <v>1478</v>
      </c>
      <c r="X4" s="223">
        <f t="shared" ref="X4:X28" si="11">100000*W4/V4</f>
        <v>51.939252861930143</v>
      </c>
      <c r="Y4" s="232">
        <f t="shared" si="0"/>
        <v>0.46878127646470091</v>
      </c>
      <c r="Z4" s="232">
        <f t="shared" ref="Z4:Z28" si="12">G4/I4</f>
        <v>0.30930930930930933</v>
      </c>
      <c r="AA4" s="232">
        <f t="shared" ref="AA4:AA28" si="13">L4/N4</f>
        <v>0.48412698412698413</v>
      </c>
      <c r="AB4" s="232">
        <f t="shared" ref="AB4:AB28" si="14">Q4/S4</f>
        <v>0.13861386138613863</v>
      </c>
      <c r="AE4" s="1"/>
    </row>
    <row r="5" spans="1:31" x14ac:dyDescent="0.35">
      <c r="A5" s="217">
        <v>3</v>
      </c>
      <c r="B5" s="208">
        <v>6563</v>
      </c>
      <c r="C5" s="218">
        <v>6049</v>
      </c>
      <c r="D5" s="208">
        <f t="shared" si="1"/>
        <v>12612</v>
      </c>
      <c r="E5" s="218">
        <v>34737408</v>
      </c>
      <c r="F5" s="219">
        <f t="shared" si="2"/>
        <v>36.306681258428952</v>
      </c>
      <c r="G5" s="207">
        <f>'ONS Table 4'!J8</f>
        <v>600</v>
      </c>
      <c r="H5" s="207">
        <f>'ONS Table 5'!K8</f>
        <v>1315</v>
      </c>
      <c r="I5" s="207">
        <f t="shared" si="3"/>
        <v>1915</v>
      </c>
      <c r="J5" s="220">
        <v>3638226</v>
      </c>
      <c r="K5" s="224">
        <f t="shared" si="4"/>
        <v>52.635542706802717</v>
      </c>
      <c r="L5" s="209">
        <f>'ONS Table 4'!Q8</f>
        <v>262</v>
      </c>
      <c r="M5" s="209">
        <f>'ONS Table 5'!R8</f>
        <v>297</v>
      </c>
      <c r="N5" s="209">
        <f t="shared" si="5"/>
        <v>559</v>
      </c>
      <c r="O5" s="221">
        <v>570533</v>
      </c>
      <c r="P5" s="225">
        <f t="shared" si="6"/>
        <v>97.978556893291</v>
      </c>
      <c r="Q5" s="208">
        <f>'ONS Table 4'!X8</f>
        <v>25</v>
      </c>
      <c r="R5" s="208">
        <f>'ONS Table 5'!Y8</f>
        <v>141</v>
      </c>
      <c r="S5" s="208">
        <f t="shared" si="7"/>
        <v>166</v>
      </c>
      <c r="T5" s="208">
        <v>406528</v>
      </c>
      <c r="U5" s="208">
        <f t="shared" si="8"/>
        <v>40.83359571788413</v>
      </c>
      <c r="V5" s="222">
        <f t="shared" si="9"/>
        <v>4615287</v>
      </c>
      <c r="W5" s="222">
        <f t="shared" si="10"/>
        <v>2640</v>
      </c>
      <c r="X5" s="223">
        <f t="shared" si="11"/>
        <v>57.201209805587389</v>
      </c>
      <c r="Y5" s="232">
        <f t="shared" si="0"/>
        <v>0.52037741833174755</v>
      </c>
      <c r="Z5" s="232">
        <f t="shared" si="12"/>
        <v>0.3133159268929504</v>
      </c>
      <c r="AA5" s="232">
        <f t="shared" si="13"/>
        <v>0.46869409660107336</v>
      </c>
      <c r="AB5" s="232">
        <f t="shared" si="14"/>
        <v>0.15060240963855423</v>
      </c>
      <c r="AE5" s="1"/>
    </row>
    <row r="6" spans="1:31" x14ac:dyDescent="0.35">
      <c r="A6" s="217">
        <v>4</v>
      </c>
      <c r="B6" s="208">
        <v>5164</v>
      </c>
      <c r="C6" s="218">
        <v>4945</v>
      </c>
      <c r="D6" s="208">
        <f t="shared" si="1"/>
        <v>10109</v>
      </c>
      <c r="E6" s="218">
        <v>32897999</v>
      </c>
      <c r="F6" s="219">
        <f t="shared" si="2"/>
        <v>30.728312685522301</v>
      </c>
      <c r="G6" s="207">
        <f>'ONS Table 4'!J9</f>
        <v>995</v>
      </c>
      <c r="H6" s="207">
        <f>'ONS Table 5'!K9</f>
        <v>1999</v>
      </c>
      <c r="I6" s="207">
        <f t="shared" si="3"/>
        <v>2994</v>
      </c>
      <c r="J6" s="220">
        <v>4895631</v>
      </c>
      <c r="K6" s="224">
        <f t="shared" si="4"/>
        <v>61.156570011097649</v>
      </c>
      <c r="L6" s="209">
        <f>'ONS Table 4'!Q9</f>
        <v>340</v>
      </c>
      <c r="M6" s="209">
        <f>'ONS Table 5'!R9</f>
        <v>541</v>
      </c>
      <c r="N6" s="209">
        <f t="shared" si="5"/>
        <v>881</v>
      </c>
      <c r="O6" s="221">
        <v>1142784</v>
      </c>
      <c r="P6" s="225">
        <f t="shared" si="6"/>
        <v>77.092433915770613</v>
      </c>
      <c r="Q6" s="208">
        <f>'ONS Table 4'!X9</f>
        <v>25</v>
      </c>
      <c r="R6" s="208">
        <f>'ONS Table 5'!Y9</f>
        <v>139</v>
      </c>
      <c r="S6" s="208">
        <f t="shared" si="7"/>
        <v>164</v>
      </c>
      <c r="T6" s="208">
        <v>411079</v>
      </c>
      <c r="U6" s="208">
        <f t="shared" si="8"/>
        <v>39.895008015490944</v>
      </c>
      <c r="V6" s="222">
        <f t="shared" si="9"/>
        <v>6449494</v>
      </c>
      <c r="W6" s="222">
        <f t="shared" si="10"/>
        <v>4039</v>
      </c>
      <c r="X6" s="223">
        <f t="shared" si="11"/>
        <v>62.625067951067166</v>
      </c>
      <c r="Y6" s="232">
        <f t="shared" si="0"/>
        <v>0.51083193194183396</v>
      </c>
      <c r="Z6" s="232">
        <f t="shared" si="12"/>
        <v>0.33233132932531728</v>
      </c>
      <c r="AA6" s="232">
        <f t="shared" si="13"/>
        <v>0.38592508513053347</v>
      </c>
      <c r="AB6" s="232">
        <f t="shared" si="14"/>
        <v>0.1524390243902439</v>
      </c>
      <c r="AE6" s="1"/>
    </row>
    <row r="7" spans="1:31" x14ac:dyDescent="0.35">
      <c r="A7" s="226">
        <v>5</v>
      </c>
      <c r="B7" s="208">
        <v>3520</v>
      </c>
      <c r="C7" s="218">
        <v>4100</v>
      </c>
      <c r="D7" s="208">
        <f t="shared" si="1"/>
        <v>7620</v>
      </c>
      <c r="E7" s="218">
        <v>31004385</v>
      </c>
      <c r="F7" s="219">
        <f t="shared" si="2"/>
        <v>24.577168681139781</v>
      </c>
      <c r="G7" s="207">
        <f>'ONS Table 4'!J10</f>
        <v>797</v>
      </c>
      <c r="H7" s="207">
        <f>'ONS Table 5'!K10</f>
        <v>1911</v>
      </c>
      <c r="I7" s="207">
        <f t="shared" si="3"/>
        <v>2708</v>
      </c>
      <c r="J7" s="220">
        <v>5499801</v>
      </c>
      <c r="K7" s="224">
        <f t="shared" si="4"/>
        <v>49.238145161979503</v>
      </c>
      <c r="L7" s="209">
        <f>'ONS Table 4'!Q10</f>
        <v>750</v>
      </c>
      <c r="M7" s="209">
        <f>'ONS Table 5'!R10</f>
        <v>1149</v>
      </c>
      <c r="N7" s="209">
        <f t="shared" si="5"/>
        <v>1899</v>
      </c>
      <c r="O7" s="221">
        <v>2418413</v>
      </c>
      <c r="P7" s="225">
        <f t="shared" si="6"/>
        <v>78.522568312360207</v>
      </c>
      <c r="Q7" s="208">
        <f>'ONS Table 4'!X10</f>
        <v>17</v>
      </c>
      <c r="R7" s="208">
        <f>'ONS Table 5'!Y10</f>
        <v>184</v>
      </c>
      <c r="S7" s="208">
        <f t="shared" si="7"/>
        <v>201</v>
      </c>
      <c r="T7" s="208">
        <v>421167</v>
      </c>
      <c r="U7" s="208">
        <f t="shared" si="8"/>
        <v>47.724536822685536</v>
      </c>
      <c r="V7" s="222">
        <f t="shared" si="9"/>
        <v>8339381</v>
      </c>
      <c r="W7" s="222">
        <f t="shared" si="10"/>
        <v>4808</v>
      </c>
      <c r="X7" s="223">
        <f t="shared" si="11"/>
        <v>57.654159223568271</v>
      </c>
      <c r="Y7" s="232">
        <f t="shared" si="0"/>
        <v>0.46194225721784776</v>
      </c>
      <c r="Z7" s="232">
        <f t="shared" si="12"/>
        <v>0.29431314623338256</v>
      </c>
      <c r="AA7" s="232">
        <f t="shared" si="13"/>
        <v>0.39494470774091628</v>
      </c>
      <c r="AB7" s="232">
        <f t="shared" si="14"/>
        <v>8.45771144278607E-2</v>
      </c>
      <c r="AE7" s="1"/>
    </row>
    <row r="8" spans="1:31" x14ac:dyDescent="0.35">
      <c r="A8" s="217">
        <v>6</v>
      </c>
      <c r="B8" s="208">
        <v>2419</v>
      </c>
      <c r="C8" s="218">
        <v>3401</v>
      </c>
      <c r="D8" s="208">
        <f t="shared" si="1"/>
        <v>5820</v>
      </c>
      <c r="E8" s="218">
        <v>28941393</v>
      </c>
      <c r="F8" s="219">
        <f t="shared" si="2"/>
        <v>20.109605643377289</v>
      </c>
      <c r="G8" s="207">
        <f>'ONS Table 4'!J11</f>
        <v>439</v>
      </c>
      <c r="H8" s="207">
        <f>'ONS Table 5'!K11</f>
        <v>1508</v>
      </c>
      <c r="I8" s="207">
        <f t="shared" si="3"/>
        <v>1947</v>
      </c>
      <c r="J8" s="220">
        <v>5794547</v>
      </c>
      <c r="K8" s="224">
        <f t="shared" si="4"/>
        <v>33.600555832923611</v>
      </c>
      <c r="L8" s="209">
        <f>'ONS Table 4'!Q11</f>
        <v>880</v>
      </c>
      <c r="M8" s="209">
        <f>'ONS Table 5'!R11</f>
        <v>2009</v>
      </c>
      <c r="N8" s="209">
        <f t="shared" si="5"/>
        <v>2889</v>
      </c>
      <c r="O8" s="221">
        <v>4170308</v>
      </c>
      <c r="P8" s="225">
        <f t="shared" si="6"/>
        <v>69.275458791053325</v>
      </c>
      <c r="Q8" s="208">
        <f>'ONS Table 4'!X11</f>
        <v>17</v>
      </c>
      <c r="R8" s="208">
        <f>'ONS Table 5'!Y11</f>
        <v>202</v>
      </c>
      <c r="S8" s="208">
        <f t="shared" si="7"/>
        <v>219</v>
      </c>
      <c r="T8" s="208">
        <v>435150</v>
      </c>
      <c r="U8" s="208">
        <f t="shared" si="8"/>
        <v>50.327473285074106</v>
      </c>
      <c r="V8" s="222">
        <f t="shared" si="9"/>
        <v>10400005</v>
      </c>
      <c r="W8" s="222">
        <f t="shared" si="10"/>
        <v>5055</v>
      </c>
      <c r="X8" s="223">
        <f t="shared" si="11"/>
        <v>48.605745862622179</v>
      </c>
      <c r="Y8" s="232">
        <f t="shared" si="0"/>
        <v>0.41563573883161514</v>
      </c>
      <c r="Z8" s="232">
        <f t="shared" si="12"/>
        <v>0.22547508988186954</v>
      </c>
      <c r="AA8" s="232">
        <f t="shared" si="13"/>
        <v>0.30460366908965042</v>
      </c>
      <c r="AB8" s="232">
        <f t="shared" si="14"/>
        <v>7.7625570776255703E-2</v>
      </c>
      <c r="AE8" s="1"/>
    </row>
    <row r="9" spans="1:31" x14ac:dyDescent="0.35">
      <c r="A9" s="217">
        <v>7</v>
      </c>
      <c r="B9" s="208">
        <v>1625</v>
      </c>
      <c r="C9" s="218">
        <v>2998</v>
      </c>
      <c r="D9" s="208">
        <f t="shared" si="1"/>
        <v>4623</v>
      </c>
      <c r="E9" s="218">
        <v>27025851</v>
      </c>
      <c r="F9" s="219">
        <f t="shared" si="2"/>
        <v>17.105844326604185</v>
      </c>
      <c r="G9" s="207">
        <f>'ONS Table 4'!J12</f>
        <v>216</v>
      </c>
      <c r="H9" s="207">
        <f>'ONS Table 5'!K12</f>
        <v>1325</v>
      </c>
      <c r="I9" s="207">
        <f t="shared" si="3"/>
        <v>1541</v>
      </c>
      <c r="J9" s="220">
        <v>5877448</v>
      </c>
      <c r="K9" s="224">
        <f t="shared" si="4"/>
        <v>26.218862336170396</v>
      </c>
      <c r="L9" s="209">
        <f>'ONS Table 4'!Q12</f>
        <v>965</v>
      </c>
      <c r="M9" s="209">
        <f>'ONS Table 5'!R12</f>
        <v>2999</v>
      </c>
      <c r="N9" s="209">
        <f t="shared" si="5"/>
        <v>3964</v>
      </c>
      <c r="O9" s="221">
        <v>5984438</v>
      </c>
      <c r="P9" s="225">
        <f t="shared" si="6"/>
        <v>66.238467171019238</v>
      </c>
      <c r="Q9" s="208">
        <f>'ONS Table 4'!X12</f>
        <v>25</v>
      </c>
      <c r="R9" s="208">
        <f>'ONS Table 5'!Y12</f>
        <v>206</v>
      </c>
      <c r="S9" s="208">
        <f t="shared" si="7"/>
        <v>231</v>
      </c>
      <c r="T9" s="208">
        <v>452826</v>
      </c>
      <c r="U9" s="208">
        <f t="shared" si="8"/>
        <v>51.012971869989798</v>
      </c>
      <c r="V9" s="222">
        <f t="shared" si="9"/>
        <v>12314712</v>
      </c>
      <c r="W9" s="222">
        <f t="shared" si="10"/>
        <v>5736</v>
      </c>
      <c r="X9" s="223">
        <f t="shared" si="11"/>
        <v>46.578433990173707</v>
      </c>
      <c r="Y9" s="232">
        <f t="shared" si="0"/>
        <v>0.35150335280121131</v>
      </c>
      <c r="Z9" s="232">
        <f t="shared" si="12"/>
        <v>0.14016872160934457</v>
      </c>
      <c r="AA9" s="232">
        <f t="shared" si="13"/>
        <v>0.24344096871846618</v>
      </c>
      <c r="AB9" s="232">
        <f t="shared" si="14"/>
        <v>0.10822510822510822</v>
      </c>
      <c r="AE9" s="1"/>
    </row>
    <row r="10" spans="1:31" x14ac:dyDescent="0.35">
      <c r="A10" s="217">
        <v>8</v>
      </c>
      <c r="B10" s="208">
        <v>997</v>
      </c>
      <c r="C10" s="218">
        <v>2198</v>
      </c>
      <c r="D10" s="208">
        <f t="shared" si="1"/>
        <v>3195</v>
      </c>
      <c r="E10" s="218">
        <v>25261345</v>
      </c>
      <c r="F10" s="219">
        <f t="shared" si="2"/>
        <v>12.647782610150013</v>
      </c>
      <c r="G10" s="207">
        <f>'ONS Table 4'!J13</f>
        <v>157</v>
      </c>
      <c r="H10" s="207">
        <f>'ONS Table 5'!K13</f>
        <v>1105</v>
      </c>
      <c r="I10" s="207">
        <f t="shared" si="3"/>
        <v>1262</v>
      </c>
      <c r="J10" s="220">
        <v>5753015</v>
      </c>
      <c r="K10" s="224">
        <f t="shared" si="4"/>
        <v>21.936323823247463</v>
      </c>
      <c r="L10" s="209">
        <f>'ONS Table 4'!Q13</f>
        <v>750</v>
      </c>
      <c r="M10" s="209">
        <f>'ONS Table 5'!R13</f>
        <v>3705</v>
      </c>
      <c r="N10" s="209">
        <f t="shared" si="5"/>
        <v>4455</v>
      </c>
      <c r="O10" s="221">
        <v>7815751</v>
      </c>
      <c r="P10" s="225">
        <f t="shared" si="6"/>
        <v>57.000280587239793</v>
      </c>
      <c r="Q10" s="208">
        <f>'ONS Table 4'!X13</f>
        <v>6</v>
      </c>
      <c r="R10" s="208">
        <f>'ONS Table 5'!Y13</f>
        <v>235</v>
      </c>
      <c r="S10" s="208">
        <f t="shared" si="7"/>
        <v>241</v>
      </c>
      <c r="T10" s="208">
        <v>510095</v>
      </c>
      <c r="U10" s="208">
        <f t="shared" si="8"/>
        <v>47.246101216440074</v>
      </c>
      <c r="V10" s="222">
        <f t="shared" si="9"/>
        <v>14078861</v>
      </c>
      <c r="W10" s="222">
        <f t="shared" si="10"/>
        <v>5958</v>
      </c>
      <c r="X10" s="223">
        <f t="shared" si="11"/>
        <v>42.318764280718447</v>
      </c>
      <c r="Y10" s="232">
        <f t="shared" si="0"/>
        <v>0.31205007824726133</v>
      </c>
      <c r="Z10" s="232">
        <f t="shared" si="12"/>
        <v>0.12440570522979398</v>
      </c>
      <c r="AA10" s="232">
        <f t="shared" si="13"/>
        <v>0.16835016835016836</v>
      </c>
      <c r="AB10" s="232">
        <f t="shared" si="14"/>
        <v>2.4896265560165973E-2</v>
      </c>
      <c r="AE10" s="1"/>
    </row>
    <row r="11" spans="1:31" x14ac:dyDescent="0.35">
      <c r="A11" s="226">
        <v>9</v>
      </c>
      <c r="B11" s="208">
        <v>654</v>
      </c>
      <c r="C11" s="218">
        <v>1839</v>
      </c>
      <c r="D11" s="208">
        <f t="shared" si="1"/>
        <v>2493</v>
      </c>
      <c r="E11" s="218">
        <v>23795540</v>
      </c>
      <c r="F11" s="219">
        <f t="shared" si="2"/>
        <v>10.476753206693354</v>
      </c>
      <c r="G11" s="207">
        <f>'ONS Table 4'!J14</f>
        <v>93</v>
      </c>
      <c r="H11" s="207">
        <f>'ONS Table 5'!K14</f>
        <v>668</v>
      </c>
      <c r="I11" s="207">
        <f t="shared" si="3"/>
        <v>761</v>
      </c>
      <c r="J11" s="220">
        <v>5159690</v>
      </c>
      <c r="K11" s="224">
        <f t="shared" si="4"/>
        <v>14.74894809571893</v>
      </c>
      <c r="L11" s="209">
        <f>'ONS Table 4'!Q14</f>
        <v>549</v>
      </c>
      <c r="M11" s="209">
        <f>'ONS Table 5'!R14</f>
        <v>3996</v>
      </c>
      <c r="N11" s="209">
        <f t="shared" si="5"/>
        <v>4545</v>
      </c>
      <c r="O11" s="221">
        <v>9709045</v>
      </c>
      <c r="P11" s="225">
        <f t="shared" si="6"/>
        <v>46.812019101775718</v>
      </c>
      <c r="Q11" s="208">
        <f>'ONS Table 4'!X14</f>
        <v>8</v>
      </c>
      <c r="R11" s="208">
        <f>'ONS Table 5'!Y14</f>
        <v>257</v>
      </c>
      <c r="S11" s="208">
        <f t="shared" si="7"/>
        <v>265</v>
      </c>
      <c r="T11" s="208">
        <v>676798</v>
      </c>
      <c r="U11" s="208">
        <f t="shared" si="8"/>
        <v>39.154962041850006</v>
      </c>
      <c r="V11" s="222">
        <f t="shared" si="9"/>
        <v>15545533</v>
      </c>
      <c r="W11" s="222">
        <f t="shared" si="10"/>
        <v>5571</v>
      </c>
      <c r="X11" s="223">
        <f t="shared" si="11"/>
        <v>35.836661245387987</v>
      </c>
      <c r="Y11" s="232">
        <f t="shared" si="0"/>
        <v>0.26233453670276774</v>
      </c>
      <c r="Z11" s="232">
        <f t="shared" si="12"/>
        <v>0.12220762155059132</v>
      </c>
      <c r="AA11" s="232">
        <f t="shared" si="13"/>
        <v>0.12079207920792079</v>
      </c>
      <c r="AB11" s="232">
        <f t="shared" si="14"/>
        <v>3.0188679245283019E-2</v>
      </c>
      <c r="AE11" s="1"/>
    </row>
    <row r="12" spans="1:31" x14ac:dyDescent="0.35">
      <c r="A12" s="217">
        <v>10</v>
      </c>
      <c r="B12" s="208">
        <v>389</v>
      </c>
      <c r="C12" s="218">
        <v>1620</v>
      </c>
      <c r="D12" s="208">
        <f t="shared" si="1"/>
        <v>2009</v>
      </c>
      <c r="E12" s="218">
        <v>22496119</v>
      </c>
      <c r="F12" s="219">
        <f t="shared" si="2"/>
        <v>8.9304292887141994</v>
      </c>
      <c r="G12" s="207">
        <f>'ONS Table 4'!J15</f>
        <v>33</v>
      </c>
      <c r="H12" s="207">
        <f>'ONS Table 5'!K15</f>
        <v>444</v>
      </c>
      <c r="I12" s="207">
        <f t="shared" si="3"/>
        <v>477</v>
      </c>
      <c r="J12" s="220">
        <v>4544647</v>
      </c>
      <c r="K12" s="224">
        <f t="shared" si="4"/>
        <v>10.495864695321771</v>
      </c>
      <c r="L12" s="209">
        <f>'ONS Table 4'!Q15</f>
        <v>457</v>
      </c>
      <c r="M12" s="209">
        <f>'ONS Table 5'!R15</f>
        <v>4713</v>
      </c>
      <c r="N12" s="209">
        <f t="shared" si="5"/>
        <v>5170</v>
      </c>
      <c r="O12" s="221">
        <v>11357055</v>
      </c>
      <c r="P12" s="225">
        <f t="shared" si="6"/>
        <v>45.522364732758625</v>
      </c>
      <c r="Q12" s="208">
        <f>'ONS Table 4'!X15</f>
        <v>21</v>
      </c>
      <c r="R12" s="208">
        <f>'ONS Table 5'!Y15</f>
        <v>342</v>
      </c>
      <c r="S12" s="208">
        <f t="shared" si="7"/>
        <v>363</v>
      </c>
      <c r="T12" s="208">
        <v>944609</v>
      </c>
      <c r="U12" s="208">
        <f t="shared" si="8"/>
        <v>38.42859849948497</v>
      </c>
      <c r="V12" s="222">
        <f t="shared" si="9"/>
        <v>16846311</v>
      </c>
      <c r="W12" s="222">
        <f t="shared" si="10"/>
        <v>6010</v>
      </c>
      <c r="X12" s="223">
        <f t="shared" si="11"/>
        <v>35.675466278641061</v>
      </c>
      <c r="Y12" s="232">
        <f t="shared" si="0"/>
        <v>0.19362867098058736</v>
      </c>
      <c r="Z12" s="232">
        <f t="shared" si="12"/>
        <v>6.9182389937106917E-2</v>
      </c>
      <c r="AA12" s="232">
        <f t="shared" si="13"/>
        <v>8.8394584139264987E-2</v>
      </c>
      <c r="AB12" s="232">
        <f t="shared" si="14"/>
        <v>5.7851239669421489E-2</v>
      </c>
      <c r="AE12" s="1"/>
    </row>
    <row r="13" spans="1:31" x14ac:dyDescent="0.35">
      <c r="A13" s="217">
        <v>11</v>
      </c>
      <c r="B13" s="208">
        <v>237</v>
      </c>
      <c r="C13" s="218">
        <v>1372</v>
      </c>
      <c r="D13" s="208">
        <f t="shared" si="1"/>
        <v>1609</v>
      </c>
      <c r="E13" s="218">
        <v>20222106</v>
      </c>
      <c r="F13" s="219">
        <f t="shared" si="2"/>
        <v>7.956639135409536</v>
      </c>
      <c r="G13" s="207">
        <f>'ONS Table 4'!J16</f>
        <v>17</v>
      </c>
      <c r="H13" s="207">
        <f>'ONS Table 5'!K16</f>
        <v>319</v>
      </c>
      <c r="I13" s="207">
        <f t="shared" si="3"/>
        <v>336</v>
      </c>
      <c r="J13" s="220">
        <v>5050636</v>
      </c>
      <c r="K13" s="224">
        <f t="shared" si="4"/>
        <v>6.652627510673903</v>
      </c>
      <c r="L13" s="209">
        <f>'ONS Table 4'!Q16</f>
        <v>335</v>
      </c>
      <c r="M13" s="209">
        <f>'ONS Table 5'!R16</f>
        <v>4819</v>
      </c>
      <c r="N13" s="209">
        <f t="shared" si="5"/>
        <v>5154</v>
      </c>
      <c r="O13" s="221">
        <v>12736263</v>
      </c>
      <c r="P13" s="225">
        <f t="shared" si="6"/>
        <v>40.467129172819376</v>
      </c>
      <c r="Q13" s="208">
        <f>'ONS Table 4'!X16</f>
        <v>9</v>
      </c>
      <c r="R13" s="208">
        <f>'ONS Table 5'!Y16</f>
        <v>470</v>
      </c>
      <c r="S13" s="208">
        <f t="shared" si="7"/>
        <v>479</v>
      </c>
      <c r="T13" s="208">
        <v>1333720</v>
      </c>
      <c r="U13" s="208">
        <f t="shared" si="8"/>
        <v>35.914584770416575</v>
      </c>
      <c r="V13" s="222">
        <f t="shared" si="9"/>
        <v>19120619</v>
      </c>
      <c r="W13" s="222">
        <f t="shared" si="10"/>
        <v>5969</v>
      </c>
      <c r="X13" s="223">
        <f t="shared" si="11"/>
        <v>31.217608593110924</v>
      </c>
      <c r="Y13" s="232">
        <f t="shared" si="0"/>
        <v>0.14729645742697328</v>
      </c>
      <c r="Z13" s="232">
        <f t="shared" si="12"/>
        <v>5.0595238095238096E-2</v>
      </c>
      <c r="AA13" s="232">
        <f t="shared" si="13"/>
        <v>6.4998059759410171E-2</v>
      </c>
      <c r="AB13" s="232">
        <f t="shared" si="14"/>
        <v>1.8789144050104383E-2</v>
      </c>
      <c r="AE13" s="1"/>
    </row>
    <row r="14" spans="1:31" x14ac:dyDescent="0.35">
      <c r="A14" s="217">
        <v>12</v>
      </c>
      <c r="B14" s="208">
        <v>166</v>
      </c>
      <c r="C14" s="218">
        <v>1183</v>
      </c>
      <c r="D14" s="208">
        <f t="shared" si="1"/>
        <v>1349</v>
      </c>
      <c r="E14" s="218">
        <v>18316034</v>
      </c>
      <c r="F14" s="219">
        <f t="shared" si="2"/>
        <v>7.3651315563183601</v>
      </c>
      <c r="G14" s="207">
        <f>'ONS Table 4'!J17</f>
        <v>15</v>
      </c>
      <c r="H14" s="207">
        <f>'ONS Table 5'!K17</f>
        <v>235</v>
      </c>
      <c r="I14" s="207">
        <f t="shared" si="3"/>
        <v>250</v>
      </c>
      <c r="J14" s="220">
        <v>5482719</v>
      </c>
      <c r="K14" s="224">
        <f t="shared" si="4"/>
        <v>4.5597813785459369</v>
      </c>
      <c r="L14" s="209">
        <f>'ONS Table 4'!Q17</f>
        <v>251</v>
      </c>
      <c r="M14" s="209">
        <f>'ONS Table 5'!R17</f>
        <v>4786</v>
      </c>
      <c r="N14" s="209">
        <f t="shared" si="5"/>
        <v>5037</v>
      </c>
      <c r="O14" s="221">
        <v>13360491</v>
      </c>
      <c r="P14" s="225">
        <f t="shared" si="6"/>
        <v>37.700710250843329</v>
      </c>
      <c r="Q14" s="208">
        <f>'ONS Table 4'!X17</f>
        <v>17</v>
      </c>
      <c r="R14" s="208">
        <f>'ONS Table 5'!Y17</f>
        <v>711</v>
      </c>
      <c r="S14" s="208">
        <f t="shared" si="7"/>
        <v>728</v>
      </c>
      <c r="T14" s="208">
        <v>2183425</v>
      </c>
      <c r="U14" s="208">
        <f t="shared" si="8"/>
        <v>33.342111590734739</v>
      </c>
      <c r="V14" s="222">
        <f t="shared" si="9"/>
        <v>21026635</v>
      </c>
      <c r="W14" s="222">
        <f t="shared" si="10"/>
        <v>6015</v>
      </c>
      <c r="X14" s="223">
        <f t="shared" si="11"/>
        <v>28.606574470903215</v>
      </c>
      <c r="Y14" s="232">
        <f t="shared" si="0"/>
        <v>0.12305411415863603</v>
      </c>
      <c r="Z14" s="232">
        <f t="shared" si="12"/>
        <v>0.06</v>
      </c>
      <c r="AA14" s="232">
        <f t="shared" si="13"/>
        <v>4.9831248759182052E-2</v>
      </c>
      <c r="AB14" s="232">
        <f t="shared" si="14"/>
        <v>2.3351648351648352E-2</v>
      </c>
      <c r="AE14" s="1"/>
    </row>
    <row r="15" spans="1:31" x14ac:dyDescent="0.35">
      <c r="A15" s="226">
        <v>13</v>
      </c>
      <c r="B15" s="208">
        <v>90</v>
      </c>
      <c r="C15" s="218">
        <v>1025</v>
      </c>
      <c r="D15" s="208">
        <f t="shared" si="1"/>
        <v>1115</v>
      </c>
      <c r="E15" s="218">
        <v>17224336</v>
      </c>
      <c r="F15" s="219">
        <f t="shared" si="2"/>
        <v>6.4733990326245374</v>
      </c>
      <c r="G15" s="207">
        <f>'ONS Table 4'!J18</f>
        <v>8</v>
      </c>
      <c r="H15" s="207">
        <f>'ONS Table 5'!K18</f>
        <v>190</v>
      </c>
      <c r="I15" s="207">
        <f t="shared" si="3"/>
        <v>198</v>
      </c>
      <c r="J15" s="220">
        <v>5251694</v>
      </c>
      <c r="K15" s="224">
        <f t="shared" si="4"/>
        <v>3.7702120496738765</v>
      </c>
      <c r="L15" s="209">
        <f>'ONS Table 4'!Q18</f>
        <v>160</v>
      </c>
      <c r="M15" s="209">
        <f>'ONS Table 5'!R18</f>
        <v>4531</v>
      </c>
      <c r="N15" s="209">
        <f t="shared" si="5"/>
        <v>4691</v>
      </c>
      <c r="O15" s="221">
        <v>13067664</v>
      </c>
      <c r="P15" s="225">
        <f t="shared" si="6"/>
        <v>35.897770251821598</v>
      </c>
      <c r="Q15" s="208">
        <f>'ONS Table 4'!X18</f>
        <v>20</v>
      </c>
      <c r="R15" s="208">
        <f>'ONS Table 5'!Y18</f>
        <v>1165</v>
      </c>
      <c r="S15" s="208">
        <f t="shared" si="7"/>
        <v>1185</v>
      </c>
      <c r="T15" s="208">
        <v>3792492</v>
      </c>
      <c r="U15" s="208">
        <f t="shared" si="8"/>
        <v>31.2459459373942</v>
      </c>
      <c r="V15" s="222">
        <f t="shared" si="9"/>
        <v>22111850</v>
      </c>
      <c r="W15" s="222">
        <f t="shared" si="10"/>
        <v>6074</v>
      </c>
      <c r="X15" s="223">
        <f t="shared" si="11"/>
        <v>27.469433810377694</v>
      </c>
      <c r="Y15" s="232">
        <f t="shared" si="0"/>
        <v>8.0717488789237665E-2</v>
      </c>
      <c r="Z15" s="232">
        <f t="shared" si="12"/>
        <v>4.0404040404040407E-2</v>
      </c>
      <c r="AA15" s="232">
        <f t="shared" si="13"/>
        <v>3.4107866126625454E-2</v>
      </c>
      <c r="AB15" s="232">
        <f t="shared" si="14"/>
        <v>1.6877637130801686E-2</v>
      </c>
      <c r="AE15" s="1"/>
    </row>
    <row r="16" spans="1:31" x14ac:dyDescent="0.35">
      <c r="A16" s="217">
        <v>14</v>
      </c>
      <c r="B16" s="208">
        <v>84</v>
      </c>
      <c r="C16" s="218">
        <v>919</v>
      </c>
      <c r="D16" s="208">
        <f t="shared" si="1"/>
        <v>1003</v>
      </c>
      <c r="E16" s="218">
        <v>16960669</v>
      </c>
      <c r="F16" s="219">
        <f t="shared" si="2"/>
        <v>5.9136818246968916</v>
      </c>
      <c r="G16" s="207">
        <f>'ONS Table 4'!J19</f>
        <v>8</v>
      </c>
      <c r="H16" s="207">
        <f>'ONS Table 5'!K19</f>
        <v>125</v>
      </c>
      <c r="I16" s="207">
        <f t="shared" si="3"/>
        <v>133</v>
      </c>
      <c r="J16" s="220">
        <v>3211115</v>
      </c>
      <c r="K16" s="224">
        <f t="shared" si="4"/>
        <v>4.1418634960130669</v>
      </c>
      <c r="L16" s="209">
        <f>'ONS Table 4'!Q19</f>
        <v>118</v>
      </c>
      <c r="M16" s="209">
        <f>'ONS Table 5'!R19</f>
        <v>4156</v>
      </c>
      <c r="N16" s="209">
        <f t="shared" si="5"/>
        <v>4274</v>
      </c>
      <c r="O16" s="221">
        <v>13722962</v>
      </c>
      <c r="P16" s="225">
        <f t="shared" si="6"/>
        <v>31.144879654989936</v>
      </c>
      <c r="Q16" s="208">
        <f>'ONS Table 4'!X19</f>
        <v>27</v>
      </c>
      <c r="R16" s="208">
        <f>'ONS Table 5'!Y19</f>
        <v>1685</v>
      </c>
      <c r="S16" s="208">
        <f t="shared" si="7"/>
        <v>1712</v>
      </c>
      <c r="T16" s="208">
        <v>5434251</v>
      </c>
      <c r="U16" s="208">
        <f t="shared" si="8"/>
        <v>31.50388158368099</v>
      </c>
      <c r="V16" s="222">
        <f t="shared" si="9"/>
        <v>22368328</v>
      </c>
      <c r="W16" s="222">
        <f t="shared" si="10"/>
        <v>6119</v>
      </c>
      <c r="X16" s="223">
        <f t="shared" si="11"/>
        <v>27.355643211240466</v>
      </c>
      <c r="Y16" s="232">
        <f t="shared" si="0"/>
        <v>8.3748753738783654E-2</v>
      </c>
      <c r="Z16" s="232">
        <f t="shared" si="12"/>
        <v>6.0150375939849621E-2</v>
      </c>
      <c r="AA16" s="232">
        <f t="shared" si="13"/>
        <v>2.7608797379503978E-2</v>
      </c>
      <c r="AB16" s="232">
        <f t="shared" si="14"/>
        <v>1.5771028037383176E-2</v>
      </c>
      <c r="AE16" s="1"/>
    </row>
    <row r="17" spans="1:31" x14ac:dyDescent="0.35">
      <c r="A17" s="217">
        <v>15</v>
      </c>
      <c r="B17" s="208">
        <v>54</v>
      </c>
      <c r="C17" s="218">
        <v>874</v>
      </c>
      <c r="D17" s="208">
        <f t="shared" si="1"/>
        <v>928</v>
      </c>
      <c r="E17" s="218">
        <v>16544821</v>
      </c>
      <c r="F17" s="219">
        <f t="shared" si="2"/>
        <v>5.6090059844104694</v>
      </c>
      <c r="G17" s="207">
        <f>'ONS Table 4'!J20</f>
        <v>5</v>
      </c>
      <c r="H17" s="207">
        <f>'ONS Table 5'!K20</f>
        <v>91</v>
      </c>
      <c r="I17" s="207">
        <f t="shared" si="3"/>
        <v>96</v>
      </c>
      <c r="J17" s="220">
        <v>1664254</v>
      </c>
      <c r="K17" s="224">
        <f t="shared" si="4"/>
        <v>5.7683502638419375</v>
      </c>
      <c r="L17" s="209">
        <f>'ONS Table 4'!Q20</f>
        <v>98</v>
      </c>
      <c r="M17" s="209">
        <f>'ONS Table 5'!R20</f>
        <v>3721</v>
      </c>
      <c r="N17" s="209">
        <f t="shared" si="5"/>
        <v>3819</v>
      </c>
      <c r="O17" s="221">
        <v>13828421</v>
      </c>
      <c r="P17" s="225">
        <f t="shared" si="6"/>
        <v>27.617035958046113</v>
      </c>
      <c r="Q17" s="208">
        <f>'ONS Table 4'!X20</f>
        <v>26</v>
      </c>
      <c r="R17" s="208">
        <f>'ONS Table 5'!Y20</f>
        <v>2273</v>
      </c>
      <c r="S17" s="208">
        <f t="shared" si="7"/>
        <v>2299</v>
      </c>
      <c r="T17" s="208">
        <v>7284379</v>
      </c>
      <c r="U17" s="208">
        <f t="shared" si="8"/>
        <v>31.560686230082208</v>
      </c>
      <c r="V17" s="222">
        <f t="shared" si="9"/>
        <v>22777054</v>
      </c>
      <c r="W17" s="222">
        <f t="shared" si="10"/>
        <v>6214</v>
      </c>
      <c r="X17" s="223">
        <f t="shared" si="11"/>
        <v>27.281842506937025</v>
      </c>
      <c r="Y17" s="232">
        <f t="shared" si="0"/>
        <v>5.8189655172413791E-2</v>
      </c>
      <c r="Z17" s="232">
        <f t="shared" si="12"/>
        <v>5.2083333333333336E-2</v>
      </c>
      <c r="AA17" s="232">
        <f t="shared" si="13"/>
        <v>2.5661167844985597E-2</v>
      </c>
      <c r="AB17" s="232">
        <f t="shared" si="14"/>
        <v>1.1309264897781644E-2</v>
      </c>
      <c r="AE17" s="1"/>
    </row>
    <row r="18" spans="1:31" x14ac:dyDescent="0.35">
      <c r="A18" s="217">
        <v>16</v>
      </c>
      <c r="B18" s="208">
        <v>46</v>
      </c>
      <c r="C18" s="218">
        <v>795</v>
      </c>
      <c r="D18" s="208">
        <f t="shared" si="1"/>
        <v>841</v>
      </c>
      <c r="E18" s="218">
        <v>15927073</v>
      </c>
      <c r="F18" s="219">
        <f t="shared" si="2"/>
        <v>5.2803173564910511</v>
      </c>
      <c r="G18" s="207">
        <f>'ONS Table 4'!J21</f>
        <v>3</v>
      </c>
      <c r="H18" s="207">
        <f>'ONS Table 5'!K21</f>
        <v>44</v>
      </c>
      <c r="I18" s="207">
        <f t="shared" si="3"/>
        <v>47</v>
      </c>
      <c r="J18" s="220">
        <v>1078637</v>
      </c>
      <c r="K18" s="224">
        <f t="shared" si="4"/>
        <v>4.3573509901848348</v>
      </c>
      <c r="L18" s="209">
        <f>'ONS Table 4'!Q21</f>
        <v>84</v>
      </c>
      <c r="M18" s="209">
        <f>'ONS Table 5'!R21</f>
        <v>3280</v>
      </c>
      <c r="N18" s="209">
        <f t="shared" si="5"/>
        <v>3364</v>
      </c>
      <c r="O18" s="221">
        <v>13095580</v>
      </c>
      <c r="P18" s="225">
        <f t="shared" si="6"/>
        <v>25.688056580922723</v>
      </c>
      <c r="Q18" s="208">
        <f>'ONS Table 4'!X21</f>
        <v>14</v>
      </c>
      <c r="R18" s="208">
        <f>'ONS Table 5'!Y21</f>
        <v>2946</v>
      </c>
      <c r="S18" s="208">
        <f t="shared" si="7"/>
        <v>2960</v>
      </c>
      <c r="T18" s="208">
        <v>9213443</v>
      </c>
      <c r="U18" s="208">
        <f t="shared" si="8"/>
        <v>32.12696925568433</v>
      </c>
      <c r="V18" s="222">
        <f t="shared" si="9"/>
        <v>23387660</v>
      </c>
      <c r="W18" s="222">
        <f t="shared" si="10"/>
        <v>6371</v>
      </c>
      <c r="X18" s="223">
        <f t="shared" si="11"/>
        <v>27.240861206294259</v>
      </c>
      <c r="Y18" s="232">
        <f t="shared" si="0"/>
        <v>5.4696789536266346E-2</v>
      </c>
      <c r="Z18" s="232">
        <f t="shared" si="12"/>
        <v>6.3829787234042548E-2</v>
      </c>
      <c r="AA18" s="232">
        <f t="shared" si="13"/>
        <v>2.4970273483947682E-2</v>
      </c>
      <c r="AB18" s="232">
        <f t="shared" si="14"/>
        <v>4.72972972972973E-3</v>
      </c>
      <c r="AE18" s="1"/>
    </row>
    <row r="19" spans="1:31" x14ac:dyDescent="0.35">
      <c r="A19" s="226">
        <v>17</v>
      </c>
      <c r="B19" s="208">
        <v>34</v>
      </c>
      <c r="C19" s="218">
        <v>708</v>
      </c>
      <c r="D19" s="208">
        <f t="shared" si="1"/>
        <v>742</v>
      </c>
      <c r="E19" s="218">
        <v>15509284</v>
      </c>
      <c r="F19" s="219">
        <f t="shared" si="2"/>
        <v>4.7842311740503298</v>
      </c>
      <c r="G19" s="207">
        <f>'ONS Table 4'!J22</f>
        <v>0</v>
      </c>
      <c r="H19" s="207">
        <f>'ONS Table 5'!K22</f>
        <v>30</v>
      </c>
      <c r="I19" s="207">
        <f t="shared" si="3"/>
        <v>30</v>
      </c>
      <c r="J19" s="220">
        <v>1231898</v>
      </c>
      <c r="K19" s="224">
        <f t="shared" si="4"/>
        <v>2.4352665561596818</v>
      </c>
      <c r="L19" s="209">
        <f>'ONS Table 4'!Q22</f>
        <v>43</v>
      </c>
      <c r="M19" s="209">
        <f>'ONS Table 5'!R22</f>
        <v>2734</v>
      </c>
      <c r="N19" s="209">
        <f t="shared" si="5"/>
        <v>2777</v>
      </c>
      <c r="O19" s="221">
        <v>11699011</v>
      </c>
      <c r="P19" s="225">
        <f t="shared" si="6"/>
        <v>23.737049225784983</v>
      </c>
      <c r="Q19" s="208">
        <f>'ONS Table 4'!X22</f>
        <v>24</v>
      </c>
      <c r="R19" s="208">
        <f>'ONS Table 5'!Y22</f>
        <v>3394</v>
      </c>
      <c r="S19" s="208">
        <f t="shared" si="7"/>
        <v>3418</v>
      </c>
      <c r="T19" s="208">
        <v>10867328</v>
      </c>
      <c r="U19" s="208">
        <f t="shared" si="8"/>
        <v>31.452073591594914</v>
      </c>
      <c r="V19" s="222">
        <f t="shared" si="9"/>
        <v>23798237</v>
      </c>
      <c r="W19" s="222">
        <f t="shared" si="10"/>
        <v>6225</v>
      </c>
      <c r="X19" s="223">
        <f t="shared" si="11"/>
        <v>26.157399810750686</v>
      </c>
      <c r="Y19" s="232">
        <f t="shared" si="0"/>
        <v>4.5822102425876012E-2</v>
      </c>
      <c r="Z19" s="232">
        <f t="shared" si="12"/>
        <v>0</v>
      </c>
      <c r="AA19" s="232">
        <f t="shared" si="13"/>
        <v>1.5484335613971912E-2</v>
      </c>
      <c r="AB19" s="232">
        <f t="shared" si="14"/>
        <v>7.0216500877706258E-3</v>
      </c>
      <c r="AE19" s="1"/>
    </row>
    <row r="20" spans="1:31" x14ac:dyDescent="0.35">
      <c r="A20" s="217">
        <v>18</v>
      </c>
      <c r="B20" s="208">
        <v>20</v>
      </c>
      <c r="C20" s="218">
        <v>603</v>
      </c>
      <c r="D20" s="208">
        <f t="shared" si="1"/>
        <v>623</v>
      </c>
      <c r="E20" s="218">
        <v>15030867</v>
      </c>
      <c r="F20" s="219">
        <f t="shared" si="2"/>
        <v>4.1448041553424693</v>
      </c>
      <c r="G20" s="207">
        <f>'ONS Table 4'!J23</f>
        <v>0</v>
      </c>
      <c r="H20" s="207">
        <f>'ONS Table 5'!K23</f>
        <v>33</v>
      </c>
      <c r="I20" s="207">
        <f t="shared" si="3"/>
        <v>33</v>
      </c>
      <c r="J20" s="220">
        <v>1347207</v>
      </c>
      <c r="K20" s="224">
        <f t="shared" si="4"/>
        <v>2.4495122130452112</v>
      </c>
      <c r="L20" s="209">
        <f>'ONS Table 4'!Q23</f>
        <v>36</v>
      </c>
      <c r="M20" s="209">
        <f>'ONS Table 5'!R23</f>
        <v>2266</v>
      </c>
      <c r="N20" s="209">
        <f t="shared" si="5"/>
        <v>2302</v>
      </c>
      <c r="O20" s="221">
        <v>10393566</v>
      </c>
      <c r="P20" s="225">
        <f t="shared" si="6"/>
        <v>22.148317526438952</v>
      </c>
      <c r="Q20" s="208">
        <f>'ONS Table 4'!X23</f>
        <v>28</v>
      </c>
      <c r="R20" s="208">
        <f>'ONS Table 5'!Y23</f>
        <v>4137</v>
      </c>
      <c r="S20" s="208">
        <f t="shared" si="7"/>
        <v>4165</v>
      </c>
      <c r="T20" s="208">
        <v>12528914</v>
      </c>
      <c r="U20" s="208">
        <f t="shared" si="8"/>
        <v>33.243104709634054</v>
      </c>
      <c r="V20" s="222">
        <f t="shared" si="9"/>
        <v>24269687</v>
      </c>
      <c r="W20" s="222">
        <f t="shared" si="10"/>
        <v>6500</v>
      </c>
      <c r="X20" s="223">
        <f t="shared" si="11"/>
        <v>26.782380835813829</v>
      </c>
      <c r="Y20" s="232">
        <f t="shared" si="0"/>
        <v>3.2102728731942212E-2</v>
      </c>
      <c r="Z20" s="232">
        <f t="shared" si="12"/>
        <v>0</v>
      </c>
      <c r="AA20" s="232">
        <f t="shared" si="13"/>
        <v>1.5638575152041704E-2</v>
      </c>
      <c r="AB20" s="232">
        <f t="shared" si="14"/>
        <v>6.7226890756302525E-3</v>
      </c>
      <c r="AE20" s="1"/>
    </row>
    <row r="21" spans="1:31" x14ac:dyDescent="0.35">
      <c r="A21" s="217">
        <v>19</v>
      </c>
      <c r="B21" s="208">
        <v>19</v>
      </c>
      <c r="C21" s="218">
        <v>578</v>
      </c>
      <c r="D21" s="208">
        <f t="shared" si="1"/>
        <v>597</v>
      </c>
      <c r="E21" s="218">
        <v>14401995</v>
      </c>
      <c r="F21" s="219">
        <f t="shared" si="2"/>
        <v>4.1452590422368569</v>
      </c>
      <c r="G21" s="207">
        <f>'ONS Table 4'!J24</f>
        <v>2</v>
      </c>
      <c r="H21" s="207">
        <f>'ONS Table 5'!K24</f>
        <v>28</v>
      </c>
      <c r="I21" s="207">
        <f t="shared" si="3"/>
        <v>30</v>
      </c>
      <c r="J21" s="220">
        <v>1482892</v>
      </c>
      <c r="K21" s="224">
        <f t="shared" si="4"/>
        <v>2.0230738314051191</v>
      </c>
      <c r="L21" s="209">
        <f>'ONS Table 4'!Q24</f>
        <v>27</v>
      </c>
      <c r="M21" s="209">
        <f>'ONS Table 5'!R24</f>
        <v>1830</v>
      </c>
      <c r="N21" s="209">
        <f t="shared" si="5"/>
        <v>1857</v>
      </c>
      <c r="O21" s="221">
        <v>9060935</v>
      </c>
      <c r="P21" s="225">
        <f t="shared" si="6"/>
        <v>20.494573683620949</v>
      </c>
      <c r="Q21" s="208">
        <f>'ONS Table 4'!X24</f>
        <v>18</v>
      </c>
      <c r="R21" s="208">
        <f>'ONS Table 5'!Y24</f>
        <v>4626</v>
      </c>
      <c r="S21" s="208">
        <f t="shared" si="7"/>
        <v>4644</v>
      </c>
      <c r="T21" s="208">
        <v>14347609</v>
      </c>
      <c r="U21" s="208">
        <f t="shared" si="8"/>
        <v>32.367762461327175</v>
      </c>
      <c r="V21" s="222">
        <f t="shared" si="9"/>
        <v>24891436</v>
      </c>
      <c r="W21" s="222">
        <f t="shared" si="10"/>
        <v>6531</v>
      </c>
      <c r="X21" s="223">
        <f t="shared" si="11"/>
        <v>26.237939827979389</v>
      </c>
      <c r="Y21" s="232">
        <f t="shared" si="0"/>
        <v>3.1825795644891124E-2</v>
      </c>
      <c r="Z21" s="232">
        <f t="shared" si="12"/>
        <v>6.6666666666666666E-2</v>
      </c>
      <c r="AA21" s="232">
        <f t="shared" si="13"/>
        <v>1.4539579967689823E-2</v>
      </c>
      <c r="AB21" s="232">
        <f t="shared" si="14"/>
        <v>3.875968992248062E-3</v>
      </c>
      <c r="AE21" s="1"/>
    </row>
    <row r="22" spans="1:31" x14ac:dyDescent="0.35">
      <c r="A22" s="217">
        <v>20</v>
      </c>
      <c r="B22" s="208">
        <v>17</v>
      </c>
      <c r="C22" s="218">
        <v>600</v>
      </c>
      <c r="D22" s="208">
        <f t="shared" si="1"/>
        <v>617</v>
      </c>
      <c r="E22" s="218">
        <v>13574870</v>
      </c>
      <c r="F22" s="219">
        <f t="shared" si="2"/>
        <v>4.5451632317657555</v>
      </c>
      <c r="G22" s="207">
        <f>'ONS Table 4'!J25</f>
        <v>0</v>
      </c>
      <c r="H22" s="207">
        <f>'ONS Table 5'!K25</f>
        <v>13</v>
      </c>
      <c r="I22" s="207">
        <f t="shared" si="3"/>
        <v>13</v>
      </c>
      <c r="J22" s="220">
        <v>1917779</v>
      </c>
      <c r="K22" s="224">
        <f t="shared" si="4"/>
        <v>0.67786747065224928</v>
      </c>
      <c r="L22" s="209">
        <f>'ONS Table 4'!Q25</f>
        <v>19</v>
      </c>
      <c r="M22" s="209">
        <f>'ONS Table 5'!R25</f>
        <v>1441</v>
      </c>
      <c r="N22" s="209">
        <f t="shared" si="5"/>
        <v>1460</v>
      </c>
      <c r="O22" s="221">
        <v>7767800</v>
      </c>
      <c r="P22" s="225">
        <f t="shared" si="6"/>
        <v>18.795540564896111</v>
      </c>
      <c r="Q22" s="208">
        <f>'ONS Table 4'!X25</f>
        <v>17</v>
      </c>
      <c r="R22" s="208">
        <f>'ONS Table 5'!Y25</f>
        <v>4946</v>
      </c>
      <c r="S22" s="208">
        <f t="shared" si="7"/>
        <v>4963</v>
      </c>
      <c r="T22" s="208">
        <v>16025854</v>
      </c>
      <c r="U22" s="208">
        <f t="shared" si="8"/>
        <v>30.968708438252339</v>
      </c>
      <c r="V22" s="222">
        <f t="shared" si="9"/>
        <v>25711433</v>
      </c>
      <c r="W22" s="222">
        <f t="shared" si="10"/>
        <v>6436</v>
      </c>
      <c r="X22" s="223">
        <f t="shared" si="11"/>
        <v>25.031665874087999</v>
      </c>
      <c r="Y22" s="232">
        <f t="shared" si="0"/>
        <v>2.7552674230145867E-2</v>
      </c>
      <c r="Z22" s="232">
        <f t="shared" si="12"/>
        <v>0</v>
      </c>
      <c r="AA22" s="232">
        <f t="shared" si="13"/>
        <v>1.3013698630136987E-2</v>
      </c>
      <c r="AB22" s="232">
        <f t="shared" si="14"/>
        <v>3.4253475720330447E-3</v>
      </c>
      <c r="AE22" s="1"/>
    </row>
    <row r="23" spans="1:31" x14ac:dyDescent="0.35">
      <c r="A23" s="226">
        <v>21</v>
      </c>
      <c r="B23" s="208">
        <v>14</v>
      </c>
      <c r="C23" s="218">
        <v>475</v>
      </c>
      <c r="D23" s="208">
        <f t="shared" si="1"/>
        <v>489</v>
      </c>
      <c r="E23" s="218">
        <v>12851588</v>
      </c>
      <c r="F23" s="219">
        <f t="shared" si="2"/>
        <v>3.8049772526165637</v>
      </c>
      <c r="G23" s="207">
        <f>'ONS Table 4'!J26</f>
        <v>1</v>
      </c>
      <c r="H23" s="207">
        <f>'ONS Table 5'!K26</f>
        <v>22</v>
      </c>
      <c r="I23" s="207">
        <f t="shared" si="3"/>
        <v>23</v>
      </c>
      <c r="J23" s="220">
        <v>2165004</v>
      </c>
      <c r="K23" s="224">
        <f t="shared" si="4"/>
        <v>1.062353695420424</v>
      </c>
      <c r="L23" s="209">
        <f>'ONS Table 4'!Q26</f>
        <v>20</v>
      </c>
      <c r="M23" s="209">
        <f>'ONS Table 5'!R26</f>
        <v>1248</v>
      </c>
      <c r="N23" s="209">
        <f t="shared" si="5"/>
        <v>1268</v>
      </c>
      <c r="O23" s="221">
        <v>6225273</v>
      </c>
      <c r="P23" s="225">
        <f t="shared" si="6"/>
        <v>20.368584638778092</v>
      </c>
      <c r="Q23" s="208">
        <f>'ONS Table 4'!X26</f>
        <v>23</v>
      </c>
      <c r="R23" s="208">
        <f>'ONS Table 5'!Y26</f>
        <v>5034</v>
      </c>
      <c r="S23" s="208">
        <f t="shared" si="7"/>
        <v>5057</v>
      </c>
      <c r="T23" s="208">
        <v>18037385</v>
      </c>
      <c r="U23" s="208">
        <f t="shared" si="8"/>
        <v>28.036214783905759</v>
      </c>
      <c r="V23" s="222">
        <f t="shared" si="9"/>
        <v>26427662</v>
      </c>
      <c r="W23" s="222">
        <f t="shared" si="10"/>
        <v>6348</v>
      </c>
      <c r="X23" s="223">
        <f t="shared" si="11"/>
        <v>24.020286016977213</v>
      </c>
      <c r="Y23" s="232">
        <f t="shared" si="0"/>
        <v>2.8629856850715747E-2</v>
      </c>
      <c r="Z23" s="232">
        <f t="shared" si="12"/>
        <v>4.3478260869565216E-2</v>
      </c>
      <c r="AA23" s="232">
        <f t="shared" si="13"/>
        <v>1.5772870662460567E-2</v>
      </c>
      <c r="AB23" s="232">
        <f t="shared" si="14"/>
        <v>4.5481510777140594E-3</v>
      </c>
      <c r="AE23" s="1"/>
    </row>
    <row r="24" spans="1:31" x14ac:dyDescent="0.35">
      <c r="A24" s="217">
        <v>22</v>
      </c>
      <c r="B24" s="208">
        <v>18</v>
      </c>
      <c r="C24" s="218">
        <v>502</v>
      </c>
      <c r="D24" s="208">
        <f t="shared" si="1"/>
        <v>520</v>
      </c>
      <c r="E24" s="218">
        <v>12356247</v>
      </c>
      <c r="F24" s="219">
        <f t="shared" si="2"/>
        <v>4.2083975822108446</v>
      </c>
      <c r="G24" s="207">
        <f>'ONS Table 4'!J27</f>
        <v>1</v>
      </c>
      <c r="H24" s="207">
        <f>'ONS Table 5'!K27</f>
        <v>17</v>
      </c>
      <c r="I24" s="207">
        <f t="shared" si="3"/>
        <v>18</v>
      </c>
      <c r="J24" s="220">
        <v>2033912</v>
      </c>
      <c r="K24" s="224">
        <f t="shared" si="4"/>
        <v>0.88499404104012369</v>
      </c>
      <c r="L24" s="209">
        <f>'ONS Table 4'!Q27</f>
        <v>10</v>
      </c>
      <c r="M24" s="209">
        <f>'ONS Table 5'!R27</f>
        <v>1007</v>
      </c>
      <c r="N24" s="209">
        <f t="shared" si="5"/>
        <v>1017</v>
      </c>
      <c r="O24" s="221">
        <v>5306785</v>
      </c>
      <c r="P24" s="225">
        <f t="shared" si="6"/>
        <v>19.164145523136888</v>
      </c>
      <c r="Q24" s="208">
        <f>'ONS Table 4'!X27</f>
        <v>27</v>
      </c>
      <c r="R24" s="208">
        <f>'ONS Table 5'!Y27</f>
        <v>5325</v>
      </c>
      <c r="S24" s="208">
        <f t="shared" si="7"/>
        <v>5352</v>
      </c>
      <c r="T24" s="208">
        <v>19575469</v>
      </c>
      <c r="U24" s="208">
        <f t="shared" si="8"/>
        <v>27.340341117753042</v>
      </c>
      <c r="V24" s="222">
        <f t="shared" si="9"/>
        <v>26916166</v>
      </c>
      <c r="W24" s="222">
        <f t="shared" si="10"/>
        <v>6387</v>
      </c>
      <c r="X24" s="223">
        <f t="shared" si="11"/>
        <v>23.7292339481039</v>
      </c>
      <c r="Y24" s="232">
        <f t="shared" si="0"/>
        <v>3.4615384615384617E-2</v>
      </c>
      <c r="Z24" s="232">
        <f t="shared" si="12"/>
        <v>5.5555555555555552E-2</v>
      </c>
      <c r="AA24" s="232">
        <f t="shared" si="13"/>
        <v>9.8328416912487702E-3</v>
      </c>
      <c r="AB24" s="232">
        <f t="shared" si="14"/>
        <v>5.0448430493273541E-3</v>
      </c>
      <c r="AE24" s="1"/>
    </row>
    <row r="25" spans="1:31" x14ac:dyDescent="0.35">
      <c r="A25" s="217">
        <v>23</v>
      </c>
      <c r="B25" s="208">
        <v>20</v>
      </c>
      <c r="C25" s="218">
        <v>430</v>
      </c>
      <c r="D25" s="208">
        <f t="shared" si="1"/>
        <v>450</v>
      </c>
      <c r="E25" s="218">
        <v>11757509</v>
      </c>
      <c r="F25" s="219">
        <f t="shared" si="2"/>
        <v>3.827341318641559</v>
      </c>
      <c r="G25" s="207">
        <f>'ONS Table 4'!J28</f>
        <v>1</v>
      </c>
      <c r="H25" s="207">
        <f>'ONS Table 5'!K28</f>
        <v>14</v>
      </c>
      <c r="I25" s="207">
        <f t="shared" si="3"/>
        <v>15</v>
      </c>
      <c r="J25" s="220">
        <v>1806631</v>
      </c>
      <c r="K25" s="224">
        <f t="shared" si="4"/>
        <v>0.83027469361480011</v>
      </c>
      <c r="L25" s="209">
        <f>'ONS Table 4'!Q28</f>
        <v>10</v>
      </c>
      <c r="M25" s="209">
        <f>'ONS Table 5'!R28</f>
        <v>850</v>
      </c>
      <c r="N25" s="209">
        <f t="shared" si="5"/>
        <v>860</v>
      </c>
      <c r="O25" s="221">
        <v>4641596</v>
      </c>
      <c r="P25" s="225">
        <f t="shared" si="6"/>
        <v>18.52810972777467</v>
      </c>
      <c r="Q25" s="208">
        <f>'ONS Table 4'!X28</f>
        <v>29</v>
      </c>
      <c r="R25" s="208">
        <f>'ONS Table 5'!Y28</f>
        <v>5408</v>
      </c>
      <c r="S25" s="208">
        <f t="shared" si="7"/>
        <v>5437</v>
      </c>
      <c r="T25" s="208">
        <v>21059770</v>
      </c>
      <c r="U25" s="208">
        <f t="shared" si="8"/>
        <v>25.816996102046698</v>
      </c>
      <c r="V25" s="222">
        <f t="shared" si="9"/>
        <v>27507997</v>
      </c>
      <c r="W25" s="222">
        <f t="shared" si="10"/>
        <v>6312</v>
      </c>
      <c r="X25" s="223">
        <f t="shared" si="11"/>
        <v>22.946054560061206</v>
      </c>
      <c r="Y25" s="232">
        <f t="shared" si="0"/>
        <v>4.4444444444444446E-2</v>
      </c>
      <c r="Z25" s="232">
        <f t="shared" si="12"/>
        <v>6.6666666666666666E-2</v>
      </c>
      <c r="AA25" s="232">
        <f t="shared" si="13"/>
        <v>1.1627906976744186E-2</v>
      </c>
      <c r="AB25" s="232">
        <f t="shared" si="14"/>
        <v>5.3338237998896447E-3</v>
      </c>
      <c r="AE25" s="1"/>
    </row>
    <row r="26" spans="1:31" x14ac:dyDescent="0.35">
      <c r="A26" s="217">
        <v>24</v>
      </c>
      <c r="B26" s="208">
        <v>13</v>
      </c>
      <c r="C26" s="218">
        <v>448</v>
      </c>
      <c r="D26" s="208">
        <f t="shared" si="1"/>
        <v>461</v>
      </c>
      <c r="E26" s="218">
        <v>10970992</v>
      </c>
      <c r="F26" s="219">
        <f t="shared" si="2"/>
        <v>4.2019901208568928</v>
      </c>
      <c r="G26" s="207">
        <f>'ONS Table 4'!J29</f>
        <v>0</v>
      </c>
      <c r="H26" s="207">
        <f>'ONS Table 5'!K29</f>
        <v>9</v>
      </c>
      <c r="I26" s="207">
        <f t="shared" si="3"/>
        <v>9</v>
      </c>
      <c r="J26" s="220">
        <v>1870921</v>
      </c>
      <c r="K26" s="224">
        <f t="shared" si="4"/>
        <v>0.4810465006272312</v>
      </c>
      <c r="L26" s="209">
        <f>'ONS Table 4'!Q29</f>
        <v>15</v>
      </c>
      <c r="M26" s="209">
        <f>'ONS Table 5'!R29</f>
        <v>697</v>
      </c>
      <c r="N26" s="209">
        <f t="shared" si="5"/>
        <v>712</v>
      </c>
      <c r="O26" s="221">
        <v>4381714</v>
      </c>
      <c r="P26" s="225">
        <f t="shared" si="6"/>
        <v>16.249348999044667</v>
      </c>
      <c r="Q26" s="208">
        <f>'ONS Table 4'!X29</f>
        <v>29</v>
      </c>
      <c r="R26" s="208">
        <f>'ONS Table 5'!Y29</f>
        <v>5510</v>
      </c>
      <c r="S26" s="208">
        <f t="shared" si="7"/>
        <v>5539</v>
      </c>
      <c r="T26" s="208">
        <v>22035117</v>
      </c>
      <c r="U26" s="208">
        <f t="shared" si="8"/>
        <v>25.137148125875616</v>
      </c>
      <c r="V26" s="222">
        <f t="shared" si="9"/>
        <v>28287752</v>
      </c>
      <c r="W26" s="222">
        <f t="shared" si="10"/>
        <v>6260</v>
      </c>
      <c r="X26" s="223">
        <f t="shared" si="11"/>
        <v>22.12971889742246</v>
      </c>
      <c r="Y26" s="232">
        <f t="shared" si="0"/>
        <v>2.8199566160520606E-2</v>
      </c>
      <c r="Z26" s="232">
        <f t="shared" si="12"/>
        <v>0</v>
      </c>
      <c r="AA26" s="232">
        <f t="shared" si="13"/>
        <v>2.1067415730337078E-2</v>
      </c>
      <c r="AB26" s="232">
        <f t="shared" si="14"/>
        <v>5.235602094240838E-3</v>
      </c>
      <c r="AE26" s="1"/>
    </row>
    <row r="27" spans="1:31" x14ac:dyDescent="0.35">
      <c r="A27" s="226">
        <v>25</v>
      </c>
      <c r="B27" s="208">
        <v>26</v>
      </c>
      <c r="C27" s="218">
        <v>434</v>
      </c>
      <c r="D27" s="208">
        <f t="shared" si="1"/>
        <v>460</v>
      </c>
      <c r="E27" s="218">
        <v>10125621</v>
      </c>
      <c r="F27" s="219">
        <f t="shared" si="2"/>
        <v>4.5429312434269464</v>
      </c>
      <c r="G27" s="207">
        <f>'ONS Table 4'!J30</f>
        <v>0</v>
      </c>
      <c r="H27" s="207">
        <f>'ONS Table 5'!K30</f>
        <v>8</v>
      </c>
      <c r="I27" s="207">
        <f t="shared" si="3"/>
        <v>8</v>
      </c>
      <c r="J27" s="220">
        <v>2221421</v>
      </c>
      <c r="K27" s="224">
        <f t="shared" si="4"/>
        <v>0.36012984481554827</v>
      </c>
      <c r="L27" s="209">
        <f>'ONS Table 4'!Q30</f>
        <v>8</v>
      </c>
      <c r="M27" s="209">
        <f>'ONS Table 5'!R30</f>
        <v>634</v>
      </c>
      <c r="N27" s="209">
        <f t="shared" si="5"/>
        <v>642</v>
      </c>
      <c r="O27" s="221">
        <v>4235381</v>
      </c>
      <c r="P27" s="225">
        <f t="shared" si="6"/>
        <v>15.158022383346387</v>
      </c>
      <c r="Q27" s="208">
        <f>'ONS Table 4'!X30</f>
        <v>48</v>
      </c>
      <c r="R27" s="208">
        <f>'ONS Table 5'!Y30</f>
        <v>5538</v>
      </c>
      <c r="S27" s="208">
        <f t="shared" si="7"/>
        <v>5586</v>
      </c>
      <c r="T27" s="208">
        <v>22669600</v>
      </c>
      <c r="U27" s="208">
        <f t="shared" si="8"/>
        <v>24.640928820976107</v>
      </c>
      <c r="V27" s="222">
        <f t="shared" si="9"/>
        <v>29126402</v>
      </c>
      <c r="W27" s="222">
        <f t="shared" si="10"/>
        <v>6236</v>
      </c>
      <c r="X27" s="223">
        <f t="shared" si="11"/>
        <v>21.410128171684235</v>
      </c>
      <c r="Y27" s="232">
        <f t="shared" si="0"/>
        <v>5.6521739130434782E-2</v>
      </c>
      <c r="Z27" s="232">
        <f t="shared" si="12"/>
        <v>0</v>
      </c>
      <c r="AA27" s="232">
        <f t="shared" si="13"/>
        <v>1.2461059190031152E-2</v>
      </c>
      <c r="AB27" s="232">
        <f t="shared" si="14"/>
        <v>8.5929108485499461E-3</v>
      </c>
      <c r="AE27" s="1"/>
    </row>
    <row r="28" spans="1:31" x14ac:dyDescent="0.35">
      <c r="A28" s="217">
        <v>26</v>
      </c>
      <c r="B28" s="208">
        <v>35</v>
      </c>
      <c r="C28" s="218">
        <v>401</v>
      </c>
      <c r="D28" s="208">
        <f t="shared" si="1"/>
        <v>436</v>
      </c>
      <c r="E28" s="218">
        <v>9531364</v>
      </c>
      <c r="F28" s="219">
        <f t="shared" si="2"/>
        <v>4.5743715170252655</v>
      </c>
      <c r="G28" s="207">
        <f>'ONS Table 4'!J31</f>
        <v>0</v>
      </c>
      <c r="H28" s="207">
        <f>'ONS Table 5'!K31</f>
        <v>8</v>
      </c>
      <c r="I28" s="207">
        <f t="shared" si="3"/>
        <v>8</v>
      </c>
      <c r="J28" s="220">
        <v>2217764</v>
      </c>
      <c r="K28" s="224">
        <f t="shared" si="4"/>
        <v>0.360723683854549</v>
      </c>
      <c r="L28" s="209">
        <f>'ONS Table 4'!Q31</f>
        <v>13</v>
      </c>
      <c r="M28" s="209">
        <f>'ONS Table 5'!R31</f>
        <v>555</v>
      </c>
      <c r="N28" s="209">
        <f t="shared" si="5"/>
        <v>568</v>
      </c>
      <c r="O28" s="221">
        <v>4186631</v>
      </c>
      <c r="P28" s="225">
        <f t="shared" si="6"/>
        <v>13.56699455958741</v>
      </c>
      <c r="Q28" s="208">
        <f>'ONS Table 4'!X31</f>
        <v>63</v>
      </c>
      <c r="R28" s="208">
        <f>'ONS Table 5'!Y31</f>
        <v>5881</v>
      </c>
      <c r="S28" s="208">
        <f t="shared" si="7"/>
        <v>5944</v>
      </c>
      <c r="T28" s="208">
        <v>23309568</v>
      </c>
      <c r="U28" s="208">
        <f t="shared" si="8"/>
        <v>25.50025809144125</v>
      </c>
      <c r="V28" s="222">
        <f t="shared" si="9"/>
        <v>29713963</v>
      </c>
      <c r="W28" s="222">
        <f t="shared" si="10"/>
        <v>6520</v>
      </c>
      <c r="X28" s="223">
        <f t="shared" si="11"/>
        <v>21.942546001016424</v>
      </c>
      <c r="Y28" s="232">
        <f t="shared" si="0"/>
        <v>8.027522935779817E-2</v>
      </c>
      <c r="Z28" s="232">
        <f t="shared" si="12"/>
        <v>0</v>
      </c>
      <c r="AA28" s="232">
        <f t="shared" si="13"/>
        <v>2.2887323943661973E-2</v>
      </c>
      <c r="AB28" s="232">
        <f t="shared" si="14"/>
        <v>1.059892328398385E-2</v>
      </c>
      <c r="AE28" s="1"/>
    </row>
    <row r="29" spans="1:31" s="210" customFormat="1" ht="14" x14ac:dyDescent="0.3">
      <c r="A29" s="210" t="s">
        <v>105</v>
      </c>
      <c r="B29" s="230">
        <f>SUM(B3:B28)</f>
        <v>33101</v>
      </c>
      <c r="C29" s="230">
        <f t="shared" ref="C29:D29" si="15">SUM(C3:C28)</f>
        <v>52809</v>
      </c>
      <c r="D29" s="230">
        <f t="shared" si="15"/>
        <v>85910</v>
      </c>
      <c r="E29" s="230"/>
      <c r="F29" s="230"/>
      <c r="G29" s="230">
        <f t="shared" ref="G29" si="16">SUM(G3:G28)</f>
        <v>3857</v>
      </c>
      <c r="H29" s="230">
        <f t="shared" ref="H29" si="17">SUM(H3:H28)</f>
        <v>12529</v>
      </c>
      <c r="I29" s="230">
        <f t="shared" ref="I29" si="18">SUM(I3:I28)</f>
        <v>16386</v>
      </c>
      <c r="J29" s="230"/>
      <c r="K29" s="230"/>
      <c r="L29" s="230">
        <f t="shared" ref="L29" si="19">SUM(L3:L28)</f>
        <v>6420</v>
      </c>
      <c r="M29" s="230">
        <f t="shared" ref="M29:N29" si="20">SUM(M3:M28)</f>
        <v>58201</v>
      </c>
      <c r="N29" s="230">
        <f t="shared" si="20"/>
        <v>64621</v>
      </c>
      <c r="O29" s="230"/>
      <c r="P29" s="230"/>
      <c r="Q29" s="230">
        <f t="shared" ref="Q29:R29" si="21">SUM(Q3:Q28)</f>
        <v>578</v>
      </c>
      <c r="R29" s="230">
        <f t="shared" si="21"/>
        <v>60859</v>
      </c>
      <c r="S29" s="230">
        <f t="shared" ref="S29" si="22">SUM(S3:S28)</f>
        <v>61437</v>
      </c>
      <c r="T29" s="230"/>
      <c r="U29" s="230"/>
      <c r="V29" s="230"/>
      <c r="W29" s="230">
        <f t="shared" ref="W29" si="23">SUM(W3:W28)</f>
        <v>142444</v>
      </c>
      <c r="X29" s="230"/>
    </row>
    <row r="30" spans="1:31" s="2" customFormat="1" ht="14" x14ac:dyDescent="0.3"/>
    <row r="31" spans="1:31" s="2" customFormat="1" ht="14" x14ac:dyDescent="0.3"/>
    <row r="32" spans="1:31" s="2" customFormat="1" ht="14" x14ac:dyDescent="0.3"/>
    <row r="33" spans="2:5" s="2" customFormat="1" ht="14" x14ac:dyDescent="0.3">
      <c r="B33" s="227"/>
      <c r="C33" s="228" t="s">
        <v>253</v>
      </c>
      <c r="D33" s="228" t="s">
        <v>13</v>
      </c>
      <c r="E33" s="228" t="s">
        <v>254</v>
      </c>
    </row>
    <row r="34" spans="2:5" s="2" customFormat="1" ht="14" x14ac:dyDescent="0.3">
      <c r="B34" s="216" t="s">
        <v>7</v>
      </c>
      <c r="C34" s="227">
        <v>436</v>
      </c>
      <c r="D34" s="227">
        <v>9531364</v>
      </c>
      <c r="E34" s="229">
        <f>1000000*C34/D34</f>
        <v>45.743715170252649</v>
      </c>
    </row>
    <row r="35" spans="2:5" s="2" customFormat="1" ht="28" x14ac:dyDescent="0.3">
      <c r="B35" s="228" t="s">
        <v>70</v>
      </c>
      <c r="C35" s="227">
        <v>6520</v>
      </c>
      <c r="D35" s="227">
        <v>29713963</v>
      </c>
      <c r="E35" s="229">
        <f>1000000*C35/D35</f>
        <v>219.42546001016424</v>
      </c>
    </row>
    <row r="36" spans="2:5" s="2" customFormat="1" ht="14" x14ac:dyDescent="0.3"/>
    <row r="37" spans="2:5" s="2" customFormat="1" ht="14" x14ac:dyDescent="0.3"/>
    <row r="38" spans="2:5" s="2" customFormat="1" ht="14" x14ac:dyDescent="0.3"/>
  </sheetData>
  <mergeCells count="5">
    <mergeCell ref="C1:F1"/>
    <mergeCell ref="G1:K1"/>
    <mergeCell ref="L1:P1"/>
    <mergeCell ref="Q1:U1"/>
    <mergeCell ref="Y1:A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E3448-BAC1-45F6-9130-989886B74C0A}">
  <dimension ref="A1:R31"/>
  <sheetViews>
    <sheetView workbookViewId="0">
      <selection activeCell="H27" sqref="H27"/>
    </sheetView>
  </sheetViews>
  <sheetFormatPr defaultRowHeight="14.5" x14ac:dyDescent="0.35"/>
  <cols>
    <col min="1" max="1" width="13.1796875" customWidth="1"/>
    <col min="2" max="2" width="5.7265625" customWidth="1"/>
    <col min="4" max="4" width="13.1796875" customWidth="1"/>
    <col min="5" max="5" width="11.1796875" customWidth="1"/>
    <col min="7" max="7" width="12.54296875" customWidth="1"/>
    <col min="8" max="8" width="11.1796875" customWidth="1"/>
    <col min="9" max="9" width="12.54296875" customWidth="1"/>
    <col min="10" max="10" width="14" customWidth="1"/>
    <col min="11" max="11" width="10.7265625" customWidth="1"/>
    <col min="13" max="13" width="12.453125" customWidth="1"/>
    <col min="14" max="14" width="10.7265625" customWidth="1"/>
    <col min="15" max="15" width="11.7265625" style="1" customWidth="1"/>
    <col min="16" max="16" width="10.81640625" customWidth="1"/>
  </cols>
  <sheetData>
    <row r="1" spans="1:18" x14ac:dyDescent="0.35">
      <c r="A1" s="285" t="s">
        <v>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3"/>
      <c r="O1" s="3"/>
    </row>
    <row r="2" spans="1:18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x14ac:dyDescent="0.35">
      <c r="A3" s="6"/>
      <c r="B3" s="6"/>
      <c r="C3" s="284" t="s">
        <v>7</v>
      </c>
      <c r="D3" s="284"/>
      <c r="E3" s="284"/>
      <c r="F3" s="284" t="s">
        <v>1</v>
      </c>
      <c r="G3" s="284"/>
      <c r="H3" s="284"/>
      <c r="I3" s="284" t="s">
        <v>8</v>
      </c>
      <c r="J3" s="284"/>
      <c r="K3" s="284"/>
      <c r="L3" s="284" t="s">
        <v>9</v>
      </c>
      <c r="M3" s="284"/>
      <c r="N3" s="284"/>
      <c r="O3" s="284"/>
      <c r="P3" s="284"/>
    </row>
    <row r="4" spans="1:18" ht="52.5" x14ac:dyDescent="0.35">
      <c r="A4" s="8" t="s">
        <v>10</v>
      </c>
      <c r="B4" s="9" t="s">
        <v>11</v>
      </c>
      <c r="C4" s="10" t="s">
        <v>12</v>
      </c>
      <c r="D4" s="10" t="s">
        <v>13</v>
      </c>
      <c r="E4" s="11" t="s">
        <v>14</v>
      </c>
      <c r="F4" s="10" t="s">
        <v>12</v>
      </c>
      <c r="G4" s="10" t="s">
        <v>13</v>
      </c>
      <c r="H4" s="11" t="s">
        <v>14</v>
      </c>
      <c r="I4" s="10" t="s">
        <v>12</v>
      </c>
      <c r="J4" s="10" t="s">
        <v>13</v>
      </c>
      <c r="K4" s="11" t="s">
        <v>14</v>
      </c>
      <c r="L4" s="10" t="s">
        <v>12</v>
      </c>
      <c r="M4" s="10" t="s">
        <v>13</v>
      </c>
      <c r="N4" s="11" t="s">
        <v>14</v>
      </c>
      <c r="O4" s="74" t="s">
        <v>57</v>
      </c>
      <c r="P4" s="80" t="s">
        <v>58</v>
      </c>
    </row>
    <row r="5" spans="1:18" x14ac:dyDescent="0.35">
      <c r="A5" s="14">
        <v>44204</v>
      </c>
      <c r="B5" s="15">
        <v>1</v>
      </c>
      <c r="C5" s="61">
        <f>'ONS Table 4'!C6+'ONS Table 5'!D6</f>
        <v>12200</v>
      </c>
      <c r="D5" s="53">
        <v>37803666</v>
      </c>
      <c r="E5" s="54">
        <f>'ONS Table 4'!E6+'ONS Table 5'!F6</f>
        <v>36.302781510000003</v>
      </c>
      <c r="F5" s="53">
        <f>'ONS Table 4'!J6+'ONS Table 5'!K6</f>
        <v>535</v>
      </c>
      <c r="G5" s="53">
        <v>1199228</v>
      </c>
      <c r="H5" s="54">
        <f>'ONS Table 4'!L6+'ONS Table 5'!M6</f>
        <v>11.281308742</v>
      </c>
      <c r="I5" s="53">
        <f>'ONS Table 4'!Q6+'ONS Table 5'!R6</f>
        <v>79</v>
      </c>
      <c r="J5" s="53">
        <v>89296</v>
      </c>
      <c r="K5" s="54">
        <f>'ONS Table 4'!S6+'ONS Table 5'!T6</f>
        <v>10.802109097999999</v>
      </c>
      <c r="L5" s="53">
        <f>'ONS Table 4'!X6+'ONS Table 5'!Y6</f>
        <v>18</v>
      </c>
      <c r="M5" s="53">
        <v>267629</v>
      </c>
      <c r="N5" s="62">
        <f>'ONS Table 5'!AA6</f>
        <v>1.4650133830000001</v>
      </c>
      <c r="O5" s="55">
        <f>G5+J5+M5</f>
        <v>1556153</v>
      </c>
      <c r="P5" s="63">
        <f>(G5*H5+J5*K5+M5*N5)/O5</f>
        <v>9.5655931780134029</v>
      </c>
    </row>
    <row r="6" spans="1:18" x14ac:dyDescent="0.35">
      <c r="A6" s="18">
        <v>44211</v>
      </c>
      <c r="B6" s="19">
        <v>2</v>
      </c>
      <c r="C6" s="61">
        <f>'ONS Table 4'!C7+'ONS Table 5'!D7</f>
        <v>12989</v>
      </c>
      <c r="D6" s="55">
        <v>36511424</v>
      </c>
      <c r="E6" s="54">
        <f>'ONS Table 4'!E7+'ONS Table 5'!F7</f>
        <v>50.559231709999999</v>
      </c>
      <c r="F6" s="53">
        <f>'ONS Table 4'!J7+'ONS Table 5'!K7</f>
        <v>999</v>
      </c>
      <c r="G6" s="55">
        <v>2110062</v>
      </c>
      <c r="H6" s="54">
        <f>'ONS Table 4'!L7+'ONS Table 5'!M7</f>
        <v>12.819834540999999</v>
      </c>
      <c r="I6" s="53">
        <f>'ONS Table 4'!Q7+'ONS Table 5'!R7</f>
        <v>378</v>
      </c>
      <c r="J6" s="55">
        <v>335607</v>
      </c>
      <c r="K6" s="54">
        <f>'ONS Table 4'!S7+'ONS Table 5'!T7</f>
        <v>21.9562527</v>
      </c>
      <c r="L6" s="53">
        <f>'ONS Table 4'!X7+'ONS Table 5'!Y7</f>
        <v>101</v>
      </c>
      <c r="M6" s="55">
        <v>399963</v>
      </c>
      <c r="N6" s="62">
        <f>'ONS Table 4'!Z7+'ONS Table 5'!AA7</f>
        <v>3.6112247630000001</v>
      </c>
      <c r="O6" s="55">
        <f t="shared" ref="O6:O29" si="0">G6+J6+M6</f>
        <v>2845632</v>
      </c>
      <c r="P6" s="63">
        <f t="shared" ref="P6:P30" si="1">(G6*H6+J6*K6+M6*N6)/O6</f>
        <v>12.603061148111987</v>
      </c>
      <c r="R6" s="1"/>
    </row>
    <row r="7" spans="1:18" x14ac:dyDescent="0.35">
      <c r="A7" s="18">
        <v>44218</v>
      </c>
      <c r="B7" s="19">
        <v>3</v>
      </c>
      <c r="C7" s="61">
        <f>'ONS Table 4'!C8+'ONS Table 5'!D8</f>
        <v>12612</v>
      </c>
      <c r="D7" s="55">
        <v>34737408</v>
      </c>
      <c r="E7" s="54">
        <f>'ONS Table 4'!E8+'ONS Table 5'!F8</f>
        <v>81.318403000000004</v>
      </c>
      <c r="F7" s="53">
        <f>'ONS Table 4'!J8+'ONS Table 5'!K8</f>
        <v>1915</v>
      </c>
      <c r="G7" s="55">
        <v>3638226</v>
      </c>
      <c r="H7" s="54">
        <f>'ONS Table 4'!L8+'ONS Table 5'!M8</f>
        <v>13.685044137</v>
      </c>
      <c r="I7" s="53">
        <f>'ONS Table 4'!Q8+'ONS Table 5'!R8</f>
        <v>559</v>
      </c>
      <c r="J7" s="55">
        <v>570533</v>
      </c>
      <c r="K7" s="54">
        <f>'ONS Table 4'!S8+'ONS Table 5'!T8</f>
        <v>21.794917810000001</v>
      </c>
      <c r="L7" s="53">
        <f>'ONS Table 4'!X8+'ONS Table 5'!Y8</f>
        <v>166</v>
      </c>
      <c r="M7" s="55">
        <v>406528</v>
      </c>
      <c r="N7" s="62">
        <f>'ONS Table 4'!Z8+'ONS Table 5'!AA8</f>
        <v>5.5727030730000005</v>
      </c>
      <c r="O7" s="55">
        <f t="shared" si="0"/>
        <v>4615287</v>
      </c>
      <c r="P7" s="63">
        <f t="shared" si="1"/>
        <v>13.973012527310702</v>
      </c>
      <c r="R7" s="1"/>
    </row>
    <row r="8" spans="1:18" x14ac:dyDescent="0.35">
      <c r="A8" s="18">
        <v>44225</v>
      </c>
      <c r="B8" s="19">
        <v>4</v>
      </c>
      <c r="C8" s="61">
        <f>'ONS Table 4'!C9+'ONS Table 5'!D9</f>
        <v>10109</v>
      </c>
      <c r="D8" s="55">
        <v>32897999</v>
      </c>
      <c r="E8" s="54">
        <f>'ONS Table 4'!E9+'ONS Table 5'!F9</f>
        <v>103.88415309999999</v>
      </c>
      <c r="F8" s="53">
        <f>'ONS Table 4'!J9+'ONS Table 5'!K9</f>
        <v>2994</v>
      </c>
      <c r="G8" s="55">
        <v>4895631</v>
      </c>
      <c r="H8" s="54">
        <f>'ONS Table 4'!L9+'ONS Table 5'!M9</f>
        <v>16.235677983000002</v>
      </c>
      <c r="I8" s="53">
        <f>'ONS Table 4'!Q9+'ONS Table 5'!R9</f>
        <v>881</v>
      </c>
      <c r="J8" s="55">
        <v>1142784</v>
      </c>
      <c r="K8" s="54">
        <f>'ONS Table 4'!S9+'ONS Table 5'!T9</f>
        <v>19.101893021999999</v>
      </c>
      <c r="L8" s="53">
        <f>'ONS Table 4'!X9+'ONS Table 5'!Y9</f>
        <v>164</v>
      </c>
      <c r="M8" s="55">
        <v>411079</v>
      </c>
      <c r="N8" s="62">
        <f>'ONS Table 4'!Z9+'ONS Table 5'!AA9</f>
        <v>3.7741473710000002</v>
      </c>
      <c r="O8" s="55">
        <f t="shared" si="0"/>
        <v>6449494</v>
      </c>
      <c r="P8" s="63">
        <f t="shared" si="1"/>
        <v>15.94926654431632</v>
      </c>
      <c r="R8" s="1"/>
    </row>
    <row r="9" spans="1:18" x14ac:dyDescent="0.35">
      <c r="A9" s="18">
        <v>44232</v>
      </c>
      <c r="B9" s="19">
        <v>5</v>
      </c>
      <c r="C9" s="61">
        <f>'ONS Table 4'!C10+'ONS Table 5'!D10</f>
        <v>7620</v>
      </c>
      <c r="D9" s="55">
        <v>31004385</v>
      </c>
      <c r="E9" s="54">
        <f>'ONS Table 4'!E10+'ONS Table 5'!F10</f>
        <v>108.42834684</v>
      </c>
      <c r="F9" s="53">
        <f>'ONS Table 4'!J10+'ONS Table 5'!K10</f>
        <v>2708</v>
      </c>
      <c r="G9" s="55">
        <v>5499801</v>
      </c>
      <c r="H9" s="54">
        <f>'ONS Table 4'!L10+'ONS Table 5'!M10</f>
        <v>18.267648503</v>
      </c>
      <c r="I9" s="53">
        <f>'ONS Table 4'!Q10+'ONS Table 5'!R10</f>
        <v>1899</v>
      </c>
      <c r="J9" s="55">
        <v>2418413</v>
      </c>
      <c r="K9" s="54">
        <f>'ONS Table 4'!S10+'ONS Table 5'!T10</f>
        <v>18.284829296000002</v>
      </c>
      <c r="L9" s="53">
        <f>'ONS Table 4'!X10+'ONS Table 5'!Y10</f>
        <v>201</v>
      </c>
      <c r="M9" s="55">
        <v>421167</v>
      </c>
      <c r="N9" s="62">
        <f>'ONS Table 4'!Z10+'ONS Table 5'!AA10</f>
        <v>6.5680164269999999</v>
      </c>
      <c r="O9" s="55">
        <f t="shared" si="0"/>
        <v>8339381</v>
      </c>
      <c r="P9" s="63">
        <f t="shared" si="1"/>
        <v>17.68175985138291</v>
      </c>
      <c r="R9" s="1"/>
    </row>
    <row r="10" spans="1:18" x14ac:dyDescent="0.35">
      <c r="A10" s="18">
        <v>44239</v>
      </c>
      <c r="B10" s="19">
        <v>6</v>
      </c>
      <c r="C10" s="61">
        <f>'ONS Table 4'!C11+'ONS Table 5'!D11</f>
        <v>5820</v>
      </c>
      <c r="D10" s="55">
        <v>28941393</v>
      </c>
      <c r="E10" s="54">
        <f>'ONS Table 4'!E11+'ONS Table 5'!F11</f>
        <v>112.62682117</v>
      </c>
      <c r="F10" s="53">
        <f>'ONS Table 4'!J11+'ONS Table 5'!K11</f>
        <v>1947</v>
      </c>
      <c r="G10" s="55">
        <v>5794547</v>
      </c>
      <c r="H10" s="54">
        <f>'ONS Table 4'!L11+'ONS Table 5'!M11</f>
        <v>22.024912393000001</v>
      </c>
      <c r="I10" s="53">
        <f>'ONS Table 4'!Q11+'ONS Table 5'!R11</f>
        <v>2889</v>
      </c>
      <c r="J10" s="55">
        <v>4170308</v>
      </c>
      <c r="K10" s="54">
        <f>'ONS Table 4'!S11+'ONS Table 5'!T11</f>
        <v>16.382437564</v>
      </c>
      <c r="L10" s="53">
        <f>'ONS Table 4'!X11+'ONS Table 5'!Y11</f>
        <v>219</v>
      </c>
      <c r="M10" s="55">
        <v>435150</v>
      </c>
      <c r="N10" s="62">
        <f>'ONS Table 4'!Z11+'ONS Table 5'!AA11</f>
        <v>5.1757890790000003</v>
      </c>
      <c r="O10" s="55">
        <f t="shared" si="0"/>
        <v>10400005</v>
      </c>
      <c r="P10" s="63">
        <f t="shared" si="1"/>
        <v>19.057341326518355</v>
      </c>
      <c r="R10" s="1"/>
    </row>
    <row r="11" spans="1:18" x14ac:dyDescent="0.35">
      <c r="A11" s="18">
        <v>44246</v>
      </c>
      <c r="B11" s="19">
        <v>7</v>
      </c>
      <c r="C11" s="61">
        <f>'ONS Table 4'!C12+'ONS Table 5'!D12</f>
        <v>4623</v>
      </c>
      <c r="D11" s="55">
        <v>27025851</v>
      </c>
      <c r="E11" s="54">
        <f>'ONS Table 4'!E12+'ONS Table 5'!F12</f>
        <v>104.12897516999999</v>
      </c>
      <c r="F11" s="53">
        <f>'ONS Table 4'!J12+'ONS Table 5'!K12</f>
        <v>1541</v>
      </c>
      <c r="G11" s="55">
        <v>5877448</v>
      </c>
      <c r="H11" s="54">
        <f>'ONS Table 4'!L12+'ONS Table 5'!M12</f>
        <v>29.116374772</v>
      </c>
      <c r="I11" s="53">
        <f>'ONS Table 4'!Q12+'ONS Table 5'!R12</f>
        <v>3964</v>
      </c>
      <c r="J11" s="55">
        <v>5984438</v>
      </c>
      <c r="K11" s="54">
        <f>'ONS Table 4'!S12+'ONS Table 5'!T12</f>
        <v>17.287191417999999</v>
      </c>
      <c r="L11" s="53">
        <f>'ONS Table 4'!X12+'ONS Table 5'!Y12</f>
        <v>231</v>
      </c>
      <c r="M11" s="55">
        <v>452826</v>
      </c>
      <c r="N11" s="62">
        <f>'ONS Table 4'!Z12+'ONS Table 5'!AA12</f>
        <v>8.0357333889999989</v>
      </c>
      <c r="O11" s="55">
        <f t="shared" si="0"/>
        <v>12314712</v>
      </c>
      <c r="P11" s="63">
        <f t="shared" si="1"/>
        <v>22.592724288940111</v>
      </c>
      <c r="R11" s="1"/>
    </row>
    <row r="12" spans="1:18" x14ac:dyDescent="0.35">
      <c r="A12" s="18">
        <v>44253</v>
      </c>
      <c r="B12" s="19">
        <v>8</v>
      </c>
      <c r="C12" s="61">
        <f>'ONS Table 4'!C13+'ONS Table 5'!D13</f>
        <v>3195</v>
      </c>
      <c r="D12" s="55">
        <v>25261345</v>
      </c>
      <c r="E12" s="54">
        <f>'ONS Table 4'!E13+'ONS Table 5'!F13</f>
        <v>79.377318580000008</v>
      </c>
      <c r="F12" s="53">
        <f>'ONS Table 4'!J13+'ONS Table 5'!K13</f>
        <v>1262</v>
      </c>
      <c r="G12" s="55">
        <v>5753015</v>
      </c>
      <c r="H12" s="54">
        <f>'ONS Table 4'!L13+'ONS Table 5'!M13</f>
        <v>39.219470129999998</v>
      </c>
      <c r="I12" s="53">
        <f>'ONS Table 4'!Q13+'ONS Table 5'!R13</f>
        <v>4455</v>
      </c>
      <c r="J12" s="55">
        <v>7815751</v>
      </c>
      <c r="K12" s="54">
        <f>'ONS Table 4'!S13+'ONS Table 5'!T13</f>
        <v>17.078867593999998</v>
      </c>
      <c r="L12" s="53">
        <f>'ONS Table 4'!X13+'ONS Table 5'!Y13</f>
        <v>241</v>
      </c>
      <c r="M12" s="55">
        <v>510095</v>
      </c>
      <c r="N12" s="62">
        <f>'ONS Table 5'!AA13</f>
        <v>5.8840064600000002</v>
      </c>
      <c r="O12" s="55">
        <f t="shared" si="0"/>
        <v>14078861</v>
      </c>
      <c r="P12" s="63">
        <f t="shared" si="1"/>
        <v>25.720530851311672</v>
      </c>
      <c r="R12" s="1"/>
    </row>
    <row r="13" spans="1:18" x14ac:dyDescent="0.35">
      <c r="A13" s="18">
        <v>44260</v>
      </c>
      <c r="B13" s="19">
        <v>9</v>
      </c>
      <c r="C13" s="61">
        <f>'ONS Table 4'!C14+'ONS Table 5'!D14</f>
        <v>2493</v>
      </c>
      <c r="D13" s="55">
        <v>23795540</v>
      </c>
      <c r="E13" s="54">
        <f>'ONS Table 4'!E14+'ONS Table 5'!F14</f>
        <v>65.885689970000001</v>
      </c>
      <c r="F13" s="53">
        <f>'ONS Table 4'!J14+'ONS Table 5'!K14</f>
        <v>761</v>
      </c>
      <c r="G13" s="55">
        <v>5159690</v>
      </c>
      <c r="H13" s="54">
        <f>'ONS Table 4'!L14+'ONS Table 5'!M14</f>
        <v>50.809659130999997</v>
      </c>
      <c r="I13" s="53">
        <f>'ONS Table 4'!Q14+'ONS Table 5'!R14</f>
        <v>4545</v>
      </c>
      <c r="J13" s="55">
        <v>9709045</v>
      </c>
      <c r="K13" s="54">
        <f>'ONS Table 4'!S14+'ONS Table 5'!T14</f>
        <v>16.600269193999999</v>
      </c>
      <c r="L13" s="53">
        <f>'ONS Table 4'!X14+'ONS Table 5'!Y14</f>
        <v>265</v>
      </c>
      <c r="M13" s="55">
        <v>676798</v>
      </c>
      <c r="N13" s="62">
        <f>'ONS Table 5'!AA14</f>
        <v>7.796158395</v>
      </c>
      <c r="O13" s="55">
        <f t="shared" si="0"/>
        <v>15545533</v>
      </c>
      <c r="P13" s="63">
        <f t="shared" si="1"/>
        <v>27.571346389198002</v>
      </c>
      <c r="R13" s="1"/>
    </row>
    <row r="14" spans="1:18" x14ac:dyDescent="0.35">
      <c r="A14" s="18">
        <v>44267</v>
      </c>
      <c r="B14" s="19">
        <v>10</v>
      </c>
      <c r="C14" s="61">
        <f>'ONS Table 4'!C15+'ONS Table 5'!D15</f>
        <v>2009</v>
      </c>
      <c r="D14" s="55">
        <v>22496119</v>
      </c>
      <c r="E14" s="54">
        <f>'ONS Table 4'!E15+'ONS Table 5'!F15</f>
        <v>56.039162260000005</v>
      </c>
      <c r="F14" s="53">
        <f>'ONS Table 4'!J15+'ONS Table 5'!K15</f>
        <v>477</v>
      </c>
      <c r="G14" s="55">
        <v>4544647</v>
      </c>
      <c r="H14" s="54">
        <f>'ONS Table 4'!L15+'ONS Table 5'!M15</f>
        <v>49.843234273</v>
      </c>
      <c r="I14" s="53">
        <f>'ONS Table 4'!Q15+'ONS Table 5'!R15</f>
        <v>5170</v>
      </c>
      <c r="J14" s="55">
        <v>11357055</v>
      </c>
      <c r="K14" s="54">
        <f>'ONS Table 4'!S15+'ONS Table 5'!T15</f>
        <v>18.209922646999999</v>
      </c>
      <c r="L14" s="53">
        <f>'ONS Table 4'!X15+'ONS Table 5'!Y15</f>
        <v>363</v>
      </c>
      <c r="M14" s="55">
        <v>944609</v>
      </c>
      <c r="N14" s="62">
        <f>'ONS Table 4'!Z15+'ONS Table 5'!AA15</f>
        <v>8.1165660889999991</v>
      </c>
      <c r="O14" s="55">
        <f t="shared" si="0"/>
        <v>16846311</v>
      </c>
      <c r="P14" s="63">
        <f t="shared" si="1"/>
        <v>26.177718049582214</v>
      </c>
      <c r="R14" s="1"/>
    </row>
    <row r="15" spans="1:18" x14ac:dyDescent="0.35">
      <c r="A15" s="18">
        <v>44274</v>
      </c>
      <c r="B15" s="19">
        <v>11</v>
      </c>
      <c r="C15" s="61">
        <f>'ONS Table 4'!C16+'ONS Table 5'!D16</f>
        <v>1609</v>
      </c>
      <c r="D15" s="55">
        <v>20222106</v>
      </c>
      <c r="E15" s="54">
        <f>'ONS Table 4'!E16+'ONS Table 5'!F16</f>
        <v>49.557685892999999</v>
      </c>
      <c r="F15" s="53">
        <f>'ONS Table 4'!J16+'ONS Table 5'!K16</f>
        <v>336</v>
      </c>
      <c r="G15" s="55">
        <v>5050636</v>
      </c>
      <c r="H15" s="54">
        <f>'ONS Table 4'!L16+'ONS Table 5'!M16</f>
        <v>56.039466321000006</v>
      </c>
      <c r="I15" s="53">
        <f>'ONS Table 4'!Q16+'ONS Table 5'!R16</f>
        <v>5154</v>
      </c>
      <c r="J15" s="55">
        <v>12736263</v>
      </c>
      <c r="K15" s="54">
        <f>'ONS Table 4'!S16+'ONS Table 5'!T16</f>
        <v>18.097602419000001</v>
      </c>
      <c r="L15" s="53">
        <f>'ONS Table 4'!X16+'ONS Table 5'!Y16</f>
        <v>479</v>
      </c>
      <c r="M15" s="55">
        <v>1333720</v>
      </c>
      <c r="N15" s="62">
        <f>'ONS Table 5'!AA16</f>
        <v>7.039687121</v>
      </c>
      <c r="O15" s="55">
        <f t="shared" si="0"/>
        <v>19120619</v>
      </c>
      <c r="P15" s="63">
        <f t="shared" si="1"/>
        <v>27.34847347810604</v>
      </c>
      <c r="R15" s="1"/>
    </row>
    <row r="16" spans="1:18" x14ac:dyDescent="0.35">
      <c r="A16" s="18">
        <v>44281</v>
      </c>
      <c r="B16" s="19">
        <v>12</v>
      </c>
      <c r="C16" s="61">
        <f>'ONS Table 4'!C17+'ONS Table 5'!D17</f>
        <v>1349</v>
      </c>
      <c r="D16" s="55">
        <v>18316034</v>
      </c>
      <c r="E16" s="54">
        <f>'ONS Table 4'!E17+'ONS Table 5'!F17</f>
        <v>46.038930517000004</v>
      </c>
      <c r="F16" s="53">
        <f>'ONS Table 4'!J17+'ONS Table 5'!K17</f>
        <v>250</v>
      </c>
      <c r="G16" s="55">
        <v>5482719</v>
      </c>
      <c r="H16" s="54">
        <f>'ONS Table 4'!L17+'ONS Table 5'!M17</f>
        <v>40.511267074000003</v>
      </c>
      <c r="I16" s="53">
        <f>'ONS Table 4'!Q17+'ONS Table 5'!R17</f>
        <v>5037</v>
      </c>
      <c r="J16" s="55">
        <v>13360491</v>
      </c>
      <c r="K16" s="54">
        <f>'ONS Table 4'!S17+'ONS Table 5'!T17</f>
        <v>19.666868996999998</v>
      </c>
      <c r="L16" s="53">
        <f>'ONS Table 4'!X17+'ONS Table 5'!Y17</f>
        <v>728</v>
      </c>
      <c r="M16" s="55">
        <v>2183425</v>
      </c>
      <c r="N16" s="62">
        <f>'ONS Table 4'!Z17+'ONS Table 5'!AA17</f>
        <v>7.5331971959999997</v>
      </c>
      <c r="O16" s="55">
        <f t="shared" si="0"/>
        <v>21026635</v>
      </c>
      <c r="P16" s="63">
        <f t="shared" si="1"/>
        <v>23.842097940111103</v>
      </c>
      <c r="R16" s="1"/>
    </row>
    <row r="17" spans="1:18" x14ac:dyDescent="0.35">
      <c r="A17" s="18">
        <v>44288</v>
      </c>
      <c r="B17" s="19">
        <v>13</v>
      </c>
      <c r="C17" s="61">
        <f>'ONS Table 4'!C18+'ONS Table 5'!D18</f>
        <v>1115</v>
      </c>
      <c r="D17" s="55">
        <v>17224336</v>
      </c>
      <c r="E17" s="54">
        <f>'ONS Table 4'!E18+'ONS Table 5'!F18</f>
        <v>42.007698573000006</v>
      </c>
      <c r="F17" s="53">
        <f>'ONS Table 4'!J18+'ONS Table 5'!K18</f>
        <v>198</v>
      </c>
      <c r="G17" s="55">
        <v>5251694</v>
      </c>
      <c r="H17" s="54">
        <f>'ONS Table 5'!M18</f>
        <v>39.931248910000001</v>
      </c>
      <c r="I17" s="53">
        <f>'ONS Table 4'!Q18+'ONS Table 5'!R18</f>
        <v>4691</v>
      </c>
      <c r="J17" s="55">
        <v>13067664</v>
      </c>
      <c r="K17" s="54">
        <f>'ONS Table 4'!S18+'ONS Table 5'!T18</f>
        <v>25.198602914999999</v>
      </c>
      <c r="L17" s="53">
        <f>'ONS Table 4'!X18+'ONS Table 5'!Y18</f>
        <v>1185</v>
      </c>
      <c r="M17" s="55">
        <v>3792492</v>
      </c>
      <c r="N17" s="62">
        <f>'ONS Table 4'!Z18+'ONS Table 5'!AA18</f>
        <v>7.4949593370000001</v>
      </c>
      <c r="O17" s="55">
        <f t="shared" si="0"/>
        <v>22111850</v>
      </c>
      <c r="P17" s="63">
        <f t="shared" si="1"/>
        <v>25.661269853119116</v>
      </c>
      <c r="R17" s="1"/>
    </row>
    <row r="18" spans="1:18" x14ac:dyDescent="0.35">
      <c r="A18" s="18">
        <v>44295</v>
      </c>
      <c r="B18" s="19">
        <v>14</v>
      </c>
      <c r="C18" s="61">
        <f>'ONS Table 4'!C19+'ONS Table 5'!D19</f>
        <v>1003</v>
      </c>
      <c r="D18" s="55">
        <v>16960669</v>
      </c>
      <c r="E18" s="54">
        <f>'ONS Table 4'!E19+'ONS Table 5'!F19</f>
        <v>39.677670254999995</v>
      </c>
      <c r="F18" s="53">
        <f>'ONS Table 4'!J19+'ONS Table 5'!K19</f>
        <v>133</v>
      </c>
      <c r="G18" s="55">
        <v>3211115</v>
      </c>
      <c r="H18" s="54">
        <f>'ONS Table 5'!M19</f>
        <v>35.948213019999997</v>
      </c>
      <c r="I18" s="53">
        <f>'ONS Table 4'!Q19+'ONS Table 5'!R19</f>
        <v>4274</v>
      </c>
      <c r="J18" s="55">
        <v>13722962</v>
      </c>
      <c r="K18" s="54">
        <f>'ONS Table 4'!S19+'ONS Table 5'!T19</f>
        <v>33.430478266999998</v>
      </c>
      <c r="L18" s="53">
        <f>'ONS Table 4'!X19+'ONS Table 5'!Y19</f>
        <v>1712</v>
      </c>
      <c r="M18" s="55">
        <v>5434251</v>
      </c>
      <c r="N18" s="62">
        <f>'ONS Table 4'!Z19+'ONS Table 5'!AA19</f>
        <v>7.5231101199999992</v>
      </c>
      <c r="O18" s="55">
        <f t="shared" si="0"/>
        <v>22368328</v>
      </c>
      <c r="P18" s="63">
        <f t="shared" si="1"/>
        <v>27.497875462319055</v>
      </c>
      <c r="R18" s="1"/>
    </row>
    <row r="19" spans="1:18" x14ac:dyDescent="0.35">
      <c r="A19" s="18">
        <v>44302</v>
      </c>
      <c r="B19" s="19">
        <v>15</v>
      </c>
      <c r="C19" s="61">
        <f>'ONS Table 4'!C20+'ONS Table 5'!D20</f>
        <v>928</v>
      </c>
      <c r="D19" s="55">
        <v>16544821</v>
      </c>
      <c r="E19" s="54">
        <f>'ONS Table 4'!E20+'ONS Table 5'!F20</f>
        <v>38.663880118999998</v>
      </c>
      <c r="F19" s="53">
        <f>'ONS Table 4'!J20+'ONS Table 5'!K20</f>
        <v>96</v>
      </c>
      <c r="G19" s="55">
        <v>1664254</v>
      </c>
      <c r="H19" s="54">
        <f>'ONS Table 5'!M20</f>
        <v>45.370718279999998</v>
      </c>
      <c r="I19" s="53">
        <f>'ONS Table 4'!Q20+'ONS Table 5'!R20</f>
        <v>3819</v>
      </c>
      <c r="J19" s="55">
        <v>13828421</v>
      </c>
      <c r="K19" s="54">
        <f>'ONS Table 4'!S20+'ONS Table 5'!T20</f>
        <v>47.424784741000003</v>
      </c>
      <c r="L19" s="53">
        <f>'ONS Table 4'!X20+'ONS Table 5'!Y20</f>
        <v>2299</v>
      </c>
      <c r="M19" s="55">
        <v>7284379</v>
      </c>
      <c r="N19" s="62">
        <f>'ONS Table 4'!Z20+'ONS Table 5'!AA20</f>
        <v>8.406395367</v>
      </c>
      <c r="O19" s="55">
        <f t="shared" si="0"/>
        <v>22777054</v>
      </c>
      <c r="P19" s="63">
        <f t="shared" si="1"/>
        <v>34.796144334133778</v>
      </c>
      <c r="R19" s="1"/>
    </row>
    <row r="20" spans="1:18" x14ac:dyDescent="0.35">
      <c r="A20" s="18">
        <v>44309</v>
      </c>
      <c r="B20" s="19">
        <v>16</v>
      </c>
      <c r="C20" s="61">
        <f>'ONS Table 4'!C21+'ONS Table 5'!D21</f>
        <v>841</v>
      </c>
      <c r="D20" s="55">
        <v>15927073</v>
      </c>
      <c r="E20" s="54">
        <f>'ONS Table 4'!E21+'ONS Table 5'!F21</f>
        <v>40.653214460999997</v>
      </c>
      <c r="F20" s="53">
        <f>'ONS Table 4'!J21+'ONS Table 5'!K21</f>
        <v>47</v>
      </c>
      <c r="G20" s="55">
        <v>1078637</v>
      </c>
      <c r="H20" s="54">
        <f>'ONS Table 5'!M21</f>
        <v>46.695777960000001</v>
      </c>
      <c r="I20" s="53">
        <f>'ONS Table 4'!Q21+'ONS Table 5'!R21</f>
        <v>3364</v>
      </c>
      <c r="J20" s="55">
        <v>13095580</v>
      </c>
      <c r="K20" s="54">
        <f>'ONS Table 4'!S21+'ONS Table 5'!T21</f>
        <v>63.55004623</v>
      </c>
      <c r="L20" s="53">
        <f>'ONS Table 4'!X21+'ONS Table 5'!Y21</f>
        <v>2960</v>
      </c>
      <c r="M20" s="55">
        <v>9213443</v>
      </c>
      <c r="N20" s="62">
        <f>'ONS Table 4'!Z21+'ONS Table 5'!AA21</f>
        <v>9.4272619639999995</v>
      </c>
      <c r="O20" s="55">
        <f t="shared" si="0"/>
        <v>23387660</v>
      </c>
      <c r="P20" s="63">
        <f t="shared" si="1"/>
        <v>41.45134866042546</v>
      </c>
      <c r="R20" s="1"/>
    </row>
    <row r="21" spans="1:18" x14ac:dyDescent="0.35">
      <c r="A21" s="18">
        <v>44316</v>
      </c>
      <c r="B21" s="19">
        <v>17</v>
      </c>
      <c r="C21" s="61">
        <f>'ONS Table 4'!C22+'ONS Table 5'!D22</f>
        <v>742</v>
      </c>
      <c r="D21" s="55">
        <v>15509284</v>
      </c>
      <c r="E21" s="54">
        <f>'ONS Table 4'!E22+'ONS Table 5'!F22</f>
        <v>38.562253016</v>
      </c>
      <c r="F21" s="53">
        <f>'ONS Table 4'!J22+'ONS Table 5'!K22</f>
        <v>30</v>
      </c>
      <c r="G21" s="55">
        <v>1231898</v>
      </c>
      <c r="H21" s="54">
        <f>'ONS Table 5'!M22</f>
        <v>35.442833919999998</v>
      </c>
      <c r="I21" s="53">
        <f>'ONS Table 4'!Q22+'ONS Table 5'!R22</f>
        <v>2777</v>
      </c>
      <c r="J21" s="55">
        <v>11699011</v>
      </c>
      <c r="K21" s="54">
        <f>'ONS Table 4'!S22+'ONS Table 5'!T22</f>
        <v>79.142194287000009</v>
      </c>
      <c r="L21" s="53">
        <f>'ONS Table 4'!X22+'ONS Table 5'!Y22</f>
        <v>3418</v>
      </c>
      <c r="M21" s="55">
        <v>10867328</v>
      </c>
      <c r="N21" s="62">
        <f>'ONS Table 4'!Z22+'ONS Table 5'!AA22</f>
        <v>10.387010043</v>
      </c>
      <c r="O21" s="55">
        <f t="shared" si="0"/>
        <v>23798237</v>
      </c>
      <c r="P21" s="63">
        <f t="shared" si="1"/>
        <v>45.483470175740564</v>
      </c>
      <c r="R21" s="1"/>
    </row>
    <row r="22" spans="1:18" x14ac:dyDescent="0.35">
      <c r="A22" s="18">
        <v>44323</v>
      </c>
      <c r="B22" s="19">
        <v>18</v>
      </c>
      <c r="C22" s="61">
        <f>'ONS Table 4'!C23+'ONS Table 5'!D23</f>
        <v>623</v>
      </c>
      <c r="D22" s="55">
        <v>15030867</v>
      </c>
      <c r="E22" s="54">
        <f>'ONS Table 4'!E23+'ONS Table 5'!F23</f>
        <v>33.028738551000004</v>
      </c>
      <c r="F22" s="53">
        <f>'ONS Table 4'!J23+'ONS Table 5'!K23</f>
        <v>33</v>
      </c>
      <c r="G22" s="55">
        <v>1347207</v>
      </c>
      <c r="H22" s="54">
        <f>'ONS Table 5'!M23</f>
        <v>36.991169929999998</v>
      </c>
      <c r="I22" s="53">
        <f>'ONS Table 4'!Q23+'ONS Table 5'!R23</f>
        <v>2302</v>
      </c>
      <c r="J22" s="55">
        <v>10393566</v>
      </c>
      <c r="K22" s="54">
        <f>'ONS Table 4'!S23+'ONS Table 5'!T23</f>
        <v>93.952856425000007</v>
      </c>
      <c r="L22" s="53">
        <f>'ONS Table 4'!X23+'ONS Table 5'!Y23</f>
        <v>4165</v>
      </c>
      <c r="M22" s="55">
        <v>12528914</v>
      </c>
      <c r="N22" s="62">
        <f>'ONS Table 4'!Z23+'ONS Table 5'!AA23</f>
        <v>11.825595716</v>
      </c>
      <c r="O22" s="55">
        <f t="shared" si="0"/>
        <v>24269687</v>
      </c>
      <c r="P22" s="63">
        <f t="shared" si="1"/>
        <v>48.393778170034892</v>
      </c>
      <c r="R22" s="1"/>
    </row>
    <row r="23" spans="1:18" x14ac:dyDescent="0.35">
      <c r="A23" s="18">
        <v>44330</v>
      </c>
      <c r="B23" s="19">
        <v>19</v>
      </c>
      <c r="C23" s="61">
        <f>'ONS Table 4'!C24+'ONS Table 5'!D24</f>
        <v>597</v>
      </c>
      <c r="D23" s="55">
        <v>14401995</v>
      </c>
      <c r="E23" s="54">
        <f>'ONS Table 4'!E24+'ONS Table 5'!F24</f>
        <v>31.820284908999998</v>
      </c>
      <c r="F23" s="53">
        <f>'ONS Table 4'!J24+'ONS Table 5'!K24</f>
        <v>30</v>
      </c>
      <c r="G23" s="55">
        <v>1482892</v>
      </c>
      <c r="H23" s="54">
        <f>'ONS Table 5'!M24</f>
        <v>48.0571445</v>
      </c>
      <c r="I23" s="53">
        <f>'ONS Table 4'!Q24+'ONS Table 5'!R24</f>
        <v>1857</v>
      </c>
      <c r="J23" s="55">
        <v>9060935</v>
      </c>
      <c r="K23" s="54">
        <f>'ONS Table 4'!S24+'ONS Table 5'!T24</f>
        <v>98.782000288999996</v>
      </c>
      <c r="L23" s="53">
        <f>'ONS Table 4'!X24+'ONS Table 5'!Y24</f>
        <v>4644</v>
      </c>
      <c r="M23" s="55">
        <v>14347609</v>
      </c>
      <c r="N23" s="62">
        <f>'ONS Table 4'!Z24+'ONS Table 5'!AA24</f>
        <v>12.749560414999999</v>
      </c>
      <c r="O23" s="55">
        <f t="shared" si="0"/>
        <v>24891436</v>
      </c>
      <c r="P23" s="63">
        <f t="shared" si="1"/>
        <v>46.170359422686658</v>
      </c>
      <c r="R23" s="1"/>
    </row>
    <row r="24" spans="1:18" x14ac:dyDescent="0.35">
      <c r="A24" s="18">
        <v>44337</v>
      </c>
      <c r="B24" s="19">
        <v>20</v>
      </c>
      <c r="C24" s="61">
        <f>'ONS Table 4'!C25+'ONS Table 5'!D25</f>
        <v>617</v>
      </c>
      <c r="D24" s="55">
        <v>13574870</v>
      </c>
      <c r="E24" s="54">
        <f>'ONS Table 4'!E25+'ONS Table 5'!F25</f>
        <v>33.508526979999999</v>
      </c>
      <c r="F24" s="53">
        <f>'ONS Table 4'!J25+'ONS Table 5'!K25</f>
        <v>13</v>
      </c>
      <c r="G24" s="55">
        <v>1917779</v>
      </c>
      <c r="H24" s="54">
        <f>'ONS Table 5'!M25</f>
        <v>18.678727139999999</v>
      </c>
      <c r="I24" s="53">
        <f>'ONS Table 4'!Q25+'ONS Table 5'!R25</f>
        <v>1460</v>
      </c>
      <c r="J24" s="55">
        <v>7767800</v>
      </c>
      <c r="K24" s="54">
        <f>'ONS Table 4'!S25+'ONS Table 5'!T25</f>
        <v>98.849633717000003</v>
      </c>
      <c r="L24" s="53">
        <f>'ONS Table 4'!X25+'ONS Table 5'!Y25</f>
        <v>4963</v>
      </c>
      <c r="M24" s="55">
        <v>16025854</v>
      </c>
      <c r="N24" s="62">
        <f>'ONS Table 4'!Z25+'ONS Table 5'!AA25</f>
        <v>13.385249552000001</v>
      </c>
      <c r="O24" s="55">
        <f t="shared" si="0"/>
        <v>25711433</v>
      </c>
      <c r="P24" s="63">
        <f t="shared" si="1"/>
        <v>39.600123047076067</v>
      </c>
      <c r="R24" s="1"/>
    </row>
    <row r="25" spans="1:18" x14ac:dyDescent="0.35">
      <c r="A25" s="18">
        <v>44344</v>
      </c>
      <c r="B25" s="19">
        <v>21</v>
      </c>
      <c r="C25" s="61">
        <f>'ONS Table 4'!C26+'ONS Table 5'!D26</f>
        <v>489</v>
      </c>
      <c r="D25" s="55">
        <v>12851588</v>
      </c>
      <c r="E25" s="54">
        <f>'ONS Table 4'!E26+'ONS Table 5'!F26</f>
        <v>26.741871256</v>
      </c>
      <c r="F25" s="53">
        <f>'ONS Table 4'!J26+'ONS Table 5'!K26</f>
        <v>23</v>
      </c>
      <c r="G25" s="55">
        <v>2165004</v>
      </c>
      <c r="H25" s="54">
        <f>'ONS Table 5'!M26</f>
        <v>27.033407870000001</v>
      </c>
      <c r="I25" s="53">
        <f>'ONS Table 4'!Q26+'ONS Table 5'!R26</f>
        <v>1268</v>
      </c>
      <c r="J25" s="55">
        <v>6225273</v>
      </c>
      <c r="K25" s="54">
        <f>'ONS Table 4'!S26+'ONS Table 5'!T26</f>
        <v>108.295224171</v>
      </c>
      <c r="L25" s="53">
        <f>'ONS Table 4'!X26+'ONS Table 5'!Y26</f>
        <v>5057</v>
      </c>
      <c r="M25" s="55">
        <v>18037385</v>
      </c>
      <c r="N25" s="62">
        <f>'ONS Table 4'!Z26+'ONS Table 5'!AA26</f>
        <v>13.201777461000001</v>
      </c>
      <c r="O25" s="55">
        <f t="shared" si="0"/>
        <v>26427662</v>
      </c>
      <c r="P25" s="63">
        <f t="shared" si="1"/>
        <v>36.735005691431752</v>
      </c>
      <c r="R25" s="1"/>
    </row>
    <row r="26" spans="1:18" x14ac:dyDescent="0.35">
      <c r="A26" s="18">
        <v>44351</v>
      </c>
      <c r="B26" s="19">
        <v>22</v>
      </c>
      <c r="C26" s="61">
        <f>'ONS Table 4'!C27+'ONS Table 5'!D27</f>
        <v>520</v>
      </c>
      <c r="D26" s="55">
        <v>12356247</v>
      </c>
      <c r="E26" s="54">
        <f>'ONS Table 4'!E27+'ONS Table 5'!F27</f>
        <v>29.546190505999999</v>
      </c>
      <c r="F26" s="53">
        <f>'ONS Table 4'!J27+'ONS Table 5'!K27</f>
        <v>18</v>
      </c>
      <c r="G26" s="55">
        <v>2033912</v>
      </c>
      <c r="H26" s="54">
        <f>'ONS Table 5'!M27</f>
        <v>28.47817817</v>
      </c>
      <c r="I26" s="53">
        <f>'ONS Table 4'!Q27+'ONS Table 5'!R27</f>
        <v>1017</v>
      </c>
      <c r="J26" s="55">
        <v>5306785</v>
      </c>
      <c r="K26" s="54">
        <f>'ONS Table 4'!S27+'ONS Table 5'!T27</f>
        <v>100.723915984</v>
      </c>
      <c r="L26" s="53">
        <f>'ONS Table 4'!X27+'ONS Table 5'!Y27</f>
        <v>5352</v>
      </c>
      <c r="M26" s="55">
        <v>19575469</v>
      </c>
      <c r="N26" s="62">
        <f>'ONS Table 4'!Z27+'ONS Table 5'!AA27</f>
        <v>13.721403286999999</v>
      </c>
      <c r="O26" s="55">
        <f t="shared" si="0"/>
        <v>26916166</v>
      </c>
      <c r="P26" s="63">
        <f t="shared" si="1"/>
        <v>31.989889625603404</v>
      </c>
      <c r="R26" s="1"/>
    </row>
    <row r="27" spans="1:18" x14ac:dyDescent="0.35">
      <c r="A27" s="18">
        <v>44358</v>
      </c>
      <c r="B27" s="19">
        <v>23</v>
      </c>
      <c r="C27" s="61">
        <f>'ONS Table 4'!C28+'ONS Table 5'!D28</f>
        <v>450</v>
      </c>
      <c r="D27" s="55">
        <v>11757509</v>
      </c>
      <c r="E27" s="54">
        <f>'ONS Table 4'!E28+'ONS Table 5'!F28</f>
        <v>26.044215647999998</v>
      </c>
      <c r="F27" s="53">
        <f>'ONS Table 4'!J28+'ONS Table 5'!K28</f>
        <v>15</v>
      </c>
      <c r="G27" s="55">
        <v>1806631</v>
      </c>
      <c r="H27" s="54">
        <f>'ONS Table 5'!M28</f>
        <v>33.536608809999997</v>
      </c>
      <c r="I27" s="53">
        <f>'ONS Table 4'!Q28+'ONS Table 5'!R28</f>
        <v>860</v>
      </c>
      <c r="J27" s="55">
        <v>4641596</v>
      </c>
      <c r="K27" s="54">
        <f>'ONS Table 4'!S28+'ONS Table 5'!T28</f>
        <v>99.136279033000008</v>
      </c>
      <c r="L27" s="53">
        <f>'ONS Table 4'!X28+'ONS Table 5'!Y28</f>
        <v>5437</v>
      </c>
      <c r="M27" s="55">
        <v>21059770</v>
      </c>
      <c r="N27" s="62">
        <f>'ONS Table 4'!Z28+'ONS Table 5'!AA28</f>
        <v>13.773644484</v>
      </c>
      <c r="O27" s="55">
        <f t="shared" si="0"/>
        <v>27507997</v>
      </c>
      <c r="P27" s="63">
        <f t="shared" si="1"/>
        <v>29.475378313451337</v>
      </c>
      <c r="R27" s="1"/>
    </row>
    <row r="28" spans="1:18" x14ac:dyDescent="0.35">
      <c r="A28" s="18">
        <v>44365</v>
      </c>
      <c r="B28" s="19">
        <v>24</v>
      </c>
      <c r="C28" s="61">
        <f>'ONS Table 4'!C29+'ONS Table 5'!D29</f>
        <v>461</v>
      </c>
      <c r="D28" s="55">
        <v>10970992</v>
      </c>
      <c r="E28" s="54">
        <f>'ONS Table 4'!E29+'ONS Table 5'!F29</f>
        <v>26.356926990999998</v>
      </c>
      <c r="F28" s="53">
        <f>'ONS Table 4'!J29+'ONS Table 5'!K29</f>
        <v>9</v>
      </c>
      <c r="G28" s="55"/>
      <c r="H28" s="54"/>
      <c r="I28" s="53">
        <f>'ONS Table 4'!Q29+'ONS Table 5'!R29</f>
        <v>712</v>
      </c>
      <c r="J28" s="55">
        <v>4381714</v>
      </c>
      <c r="K28" s="54">
        <f>'ONS Table 4'!S29+'ONS Table 5'!T29</f>
        <v>95.976347809999993</v>
      </c>
      <c r="L28" s="53">
        <f>'ONS Table 4'!X29+'ONS Table 5'!Y29</f>
        <v>5539</v>
      </c>
      <c r="M28" s="55">
        <v>22035117</v>
      </c>
      <c r="N28" s="62">
        <f>'ONS Table 4'!Z29+'ONS Table 5'!AA29</f>
        <v>13.749580347</v>
      </c>
      <c r="O28" s="55">
        <f t="shared" si="0"/>
        <v>26416831</v>
      </c>
      <c r="P28" s="63">
        <f t="shared" si="1"/>
        <v>27.388391836817672</v>
      </c>
      <c r="R28" s="1"/>
    </row>
    <row r="29" spans="1:18" x14ac:dyDescent="0.35">
      <c r="A29" s="18">
        <v>44372</v>
      </c>
      <c r="B29" s="19">
        <v>25</v>
      </c>
      <c r="C29" s="61">
        <f>'ONS Table 4'!C30+'ONS Table 5'!D30</f>
        <v>460</v>
      </c>
      <c r="D29" s="55">
        <v>10125621</v>
      </c>
      <c r="E29" s="54">
        <f>'ONS Table 4'!E30+'ONS Table 5'!F30</f>
        <v>26.311702592000003</v>
      </c>
      <c r="F29" s="53">
        <f>'ONS Table 4'!J30+'ONS Table 5'!K30</f>
        <v>8</v>
      </c>
      <c r="G29" s="55"/>
      <c r="H29" s="54"/>
      <c r="I29" s="53">
        <f>'ONS Table 4'!Q30+'ONS Table 5'!R30</f>
        <v>642</v>
      </c>
      <c r="J29" s="55">
        <v>4235381</v>
      </c>
      <c r="K29" s="54">
        <f>'ONS Table 5'!T30</f>
        <v>95.237917929999995</v>
      </c>
      <c r="L29" s="53">
        <f>'ONS Table 4'!X30+'ONS Table 5'!Y30</f>
        <v>5586</v>
      </c>
      <c r="M29" s="55">
        <v>22669600</v>
      </c>
      <c r="N29" s="62">
        <f>'ONS Table 4'!Z30+'ONS Table 5'!AA30</f>
        <v>14.008039148</v>
      </c>
      <c r="O29" s="55">
        <f t="shared" si="0"/>
        <v>26904981</v>
      </c>
      <c r="P29" s="63">
        <f t="shared" si="1"/>
        <v>26.795243317576851</v>
      </c>
      <c r="R29" s="1"/>
    </row>
    <row r="30" spans="1:18" x14ac:dyDescent="0.35">
      <c r="A30" s="21">
        <v>44379</v>
      </c>
      <c r="B30" s="22">
        <v>26</v>
      </c>
      <c r="C30" s="76">
        <f>'ONS Table 4'!C31+'ONS Table 5'!D31</f>
        <v>436</v>
      </c>
      <c r="D30" s="57">
        <v>9531364</v>
      </c>
      <c r="E30" s="77">
        <f>'ONS Table 4'!E31+'ONS Table 5'!F31</f>
        <v>25.263540835000001</v>
      </c>
      <c r="F30" s="78">
        <f>'ONS Table 4'!J31+'ONS Table 5'!K31</f>
        <v>8</v>
      </c>
      <c r="G30" s="57"/>
      <c r="H30" s="78"/>
      <c r="I30" s="78">
        <f>'ONS Table 4'!Q31+'ONS Table 5'!R31</f>
        <v>568</v>
      </c>
      <c r="J30" s="57">
        <v>4186631</v>
      </c>
      <c r="K30" s="77">
        <f>'ONS Table 4'!S31+'ONS Table 5'!T31</f>
        <v>89.349847393999994</v>
      </c>
      <c r="L30" s="78">
        <f>'ONS Table 4'!X31+'ONS Table 5'!Y31</f>
        <v>5944</v>
      </c>
      <c r="M30" s="57">
        <v>23309568</v>
      </c>
      <c r="N30" s="79">
        <f>'ONS Table 4'!Z31+'ONS Table 5'!AA31</f>
        <v>14.740507317</v>
      </c>
      <c r="O30" s="57">
        <f>G30+J30+M30</f>
        <v>27496199</v>
      </c>
      <c r="P30" s="81">
        <f t="shared" si="1"/>
        <v>26.100687538852139</v>
      </c>
      <c r="R30" s="1"/>
    </row>
    <row r="31" spans="1:18" x14ac:dyDescent="0.35">
      <c r="A31" s="72" t="s">
        <v>64</v>
      </c>
      <c r="B31" s="75"/>
      <c r="C31" s="75"/>
      <c r="D31" s="75"/>
      <c r="E31" s="75"/>
      <c r="F31" s="75"/>
      <c r="G31" s="75"/>
      <c r="H31" s="75"/>
      <c r="I31" s="3"/>
      <c r="J31" s="3"/>
      <c r="K31" s="3"/>
      <c r="L31" s="24"/>
      <c r="M31" s="24"/>
      <c r="N31" s="3"/>
      <c r="O31" s="3"/>
    </row>
  </sheetData>
  <mergeCells count="6">
    <mergeCell ref="O3:P3"/>
    <mergeCell ref="A1:M1"/>
    <mergeCell ref="C3:E3"/>
    <mergeCell ref="F3:H3"/>
    <mergeCell ref="I3:K3"/>
    <mergeCell ref="L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57E2D-1F12-4524-8A4B-437BD2BBB854}">
  <dimension ref="A1:AV57"/>
  <sheetViews>
    <sheetView showGridLines="0" zoomScaleNormal="100" workbookViewId="0">
      <pane xSplit="2" ySplit="5" topLeftCell="C14" activePane="bottomRight" state="frozen"/>
      <selection pane="topRight" activeCell="C1" sqref="C1"/>
      <selection pane="bottomLeft" activeCell="A16" sqref="A16"/>
      <selection pane="bottomRight" activeCell="AE5" sqref="AE5"/>
    </sheetView>
  </sheetViews>
  <sheetFormatPr defaultColWidth="13.1796875" defaultRowHeight="12.5" x14ac:dyDescent="0.25"/>
  <cols>
    <col min="1" max="1" width="13.1796875" style="3"/>
    <col min="2" max="2" width="5.453125" style="3" customWidth="1"/>
    <col min="3" max="3" width="12.54296875" style="3" customWidth="1"/>
    <col min="4" max="4" width="13.1796875" style="3"/>
    <col min="5" max="5" width="10.81640625" style="3" customWidth="1"/>
    <col min="6" max="6" width="2.54296875" style="5" customWidth="1"/>
    <col min="7" max="7" width="11.1796875" style="3" hidden="1" customWidth="1"/>
    <col min="8" max="9" width="0" style="3" hidden="1" customWidth="1"/>
    <col min="10" max="10" width="9.7265625" style="3" customWidth="1"/>
    <col min="11" max="11" width="13.1796875" style="3"/>
    <col min="12" max="12" width="10.54296875" style="3" customWidth="1"/>
    <col min="13" max="13" width="2.54296875" style="5" customWidth="1"/>
    <col min="14" max="16" width="0" style="3" hidden="1" customWidth="1"/>
    <col min="17" max="17" width="9.81640625" style="3" customWidth="1"/>
    <col min="18" max="18" width="13.1796875" style="3"/>
    <col min="19" max="19" width="10.7265625" style="3" customWidth="1"/>
    <col min="20" max="20" width="2.81640625" style="5" customWidth="1"/>
    <col min="21" max="22" width="0" style="3" hidden="1" customWidth="1"/>
    <col min="23" max="23" width="2.81640625" style="3" hidden="1" customWidth="1"/>
    <col min="24" max="24" width="8.54296875" style="3" customWidth="1"/>
    <col min="25" max="25" width="13.1796875" style="3"/>
    <col min="26" max="26" width="10.54296875" style="3" customWidth="1"/>
    <col min="27" max="27" width="3.54296875" style="3" customWidth="1"/>
    <col min="28" max="29" width="0" style="3" hidden="1" customWidth="1"/>
    <col min="30" max="16384" width="13.1796875" style="3"/>
  </cols>
  <sheetData>
    <row r="1" spans="1:31" x14ac:dyDescent="0.25">
      <c r="A1" s="4" t="s">
        <v>0</v>
      </c>
    </row>
    <row r="2" spans="1:31" ht="15" customHeight="1" x14ac:dyDescent="0.3">
      <c r="A2" s="285" t="s">
        <v>65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</row>
    <row r="4" spans="1:31" ht="15" customHeight="1" x14ac:dyDescent="0.25">
      <c r="A4" s="6"/>
      <c r="B4" s="6"/>
      <c r="C4" s="284" t="s">
        <v>7</v>
      </c>
      <c r="D4" s="284"/>
      <c r="E4" s="284"/>
      <c r="F4" s="284"/>
      <c r="G4" s="284"/>
      <c r="H4" s="284"/>
      <c r="I4" s="7"/>
      <c r="J4" s="284" t="s">
        <v>1</v>
      </c>
      <c r="K4" s="284"/>
      <c r="L4" s="284"/>
      <c r="M4" s="284"/>
      <c r="N4" s="284"/>
      <c r="O4" s="284"/>
      <c r="P4" s="7"/>
      <c r="Q4" s="284" t="s">
        <v>8</v>
      </c>
      <c r="R4" s="284"/>
      <c r="S4" s="284"/>
      <c r="T4" s="284"/>
      <c r="U4" s="284"/>
      <c r="V4" s="284"/>
      <c r="W4" s="7"/>
      <c r="X4" s="284" t="s">
        <v>9</v>
      </c>
      <c r="Y4" s="284"/>
      <c r="Z4" s="284"/>
      <c r="AA4" s="284"/>
      <c r="AB4" s="284"/>
      <c r="AC4" s="331"/>
    </row>
    <row r="5" spans="1:31" ht="39" x14ac:dyDescent="0.3">
      <c r="A5" s="8" t="s">
        <v>10</v>
      </c>
      <c r="B5" s="9" t="s">
        <v>11</v>
      </c>
      <c r="C5" s="10" t="s">
        <v>12</v>
      </c>
      <c r="D5" s="10" t="s">
        <v>13</v>
      </c>
      <c r="E5" s="11" t="s">
        <v>14</v>
      </c>
      <c r="F5" s="12"/>
      <c r="G5" s="10" t="s">
        <v>15</v>
      </c>
      <c r="H5" s="10" t="s">
        <v>16</v>
      </c>
      <c r="I5" s="10"/>
      <c r="J5" s="10" t="s">
        <v>12</v>
      </c>
      <c r="K5" s="10" t="s">
        <v>13</v>
      </c>
      <c r="L5" s="11" t="s">
        <v>14</v>
      </c>
      <c r="M5" s="12"/>
      <c r="N5" s="10" t="s">
        <v>15</v>
      </c>
      <c r="O5" s="10" t="s">
        <v>16</v>
      </c>
      <c r="P5" s="10"/>
      <c r="Q5" s="10" t="s">
        <v>12</v>
      </c>
      <c r="R5" s="10" t="s">
        <v>13</v>
      </c>
      <c r="S5" s="11" t="s">
        <v>14</v>
      </c>
      <c r="T5" s="12"/>
      <c r="U5" s="10" t="s">
        <v>15</v>
      </c>
      <c r="V5" s="10" t="s">
        <v>16</v>
      </c>
      <c r="W5" s="10"/>
      <c r="X5" s="10" t="s">
        <v>12</v>
      </c>
      <c r="Y5" s="10" t="s">
        <v>13</v>
      </c>
      <c r="Z5" s="11" t="s">
        <v>14</v>
      </c>
      <c r="AA5" s="12"/>
      <c r="AB5" s="10" t="s">
        <v>15</v>
      </c>
      <c r="AC5" s="13" t="s">
        <v>16</v>
      </c>
      <c r="AE5" s="251" t="s">
        <v>268</v>
      </c>
    </row>
    <row r="6" spans="1:31" ht="14" x14ac:dyDescent="0.3">
      <c r="A6" s="14">
        <v>44204</v>
      </c>
      <c r="B6" s="15">
        <v>1</v>
      </c>
      <c r="C6" s="61">
        <v>4788</v>
      </c>
      <c r="D6" s="53">
        <v>37803666</v>
      </c>
      <c r="E6" s="54">
        <v>14.26470701</v>
      </c>
      <c r="F6" s="54"/>
      <c r="G6" s="54">
        <v>13.85636068</v>
      </c>
      <c r="H6" s="54">
        <v>14.673053339999999</v>
      </c>
      <c r="I6" s="16"/>
      <c r="J6" s="53">
        <v>157</v>
      </c>
      <c r="K6" s="53">
        <v>1199228</v>
      </c>
      <c r="L6" s="54">
        <v>2.4521899500000002</v>
      </c>
      <c r="M6" s="54"/>
      <c r="N6" s="54">
        <v>1.5745038229999999</v>
      </c>
      <c r="O6" s="54">
        <v>3.3298760770000002</v>
      </c>
      <c r="P6" s="16"/>
      <c r="Q6" s="53">
        <v>37</v>
      </c>
      <c r="R6" s="53">
        <v>89296</v>
      </c>
      <c r="S6" s="54">
        <v>5.1548434009999999</v>
      </c>
      <c r="T6" s="54"/>
      <c r="U6" s="54">
        <v>3.6117235019999998</v>
      </c>
      <c r="V6" s="54">
        <v>7.1279780580000001</v>
      </c>
      <c r="W6" s="16"/>
      <c r="X6" s="53">
        <v>1</v>
      </c>
      <c r="Y6" s="53">
        <v>267629</v>
      </c>
      <c r="Z6" s="62" t="s">
        <v>17</v>
      </c>
      <c r="AA6" s="62"/>
      <c r="AB6" s="62" t="s">
        <v>17</v>
      </c>
      <c r="AC6" s="63" t="s">
        <v>17</v>
      </c>
      <c r="AD6" s="17"/>
    </row>
    <row r="7" spans="1:31" ht="14" x14ac:dyDescent="0.3">
      <c r="A7" s="18">
        <v>44211</v>
      </c>
      <c r="B7" s="19">
        <v>2</v>
      </c>
      <c r="C7" s="64">
        <v>6089</v>
      </c>
      <c r="D7" s="55">
        <v>36511424</v>
      </c>
      <c r="E7" s="56">
        <v>24.028463469999998</v>
      </c>
      <c r="F7" s="56"/>
      <c r="G7" s="56">
        <v>23.40138194</v>
      </c>
      <c r="H7" s="56">
        <v>24.655545</v>
      </c>
      <c r="I7" s="17"/>
      <c r="J7" s="55">
        <v>309</v>
      </c>
      <c r="K7" s="55">
        <v>2110062</v>
      </c>
      <c r="L7" s="56">
        <v>3.9198212429999999</v>
      </c>
      <c r="M7" s="56"/>
      <c r="N7" s="56">
        <v>3.1000554930000002</v>
      </c>
      <c r="O7" s="56">
        <v>4.7395869920000004</v>
      </c>
      <c r="P7" s="17"/>
      <c r="Q7" s="55">
        <v>183</v>
      </c>
      <c r="R7" s="55">
        <v>335607</v>
      </c>
      <c r="S7" s="56">
        <v>11.43765376</v>
      </c>
      <c r="T7" s="56"/>
      <c r="U7" s="56">
        <v>6.2969852880000001</v>
      </c>
      <c r="V7" s="56">
        <v>16.578322230000001</v>
      </c>
      <c r="W7" s="17"/>
      <c r="X7" s="55">
        <v>14</v>
      </c>
      <c r="Y7" s="55">
        <v>399963</v>
      </c>
      <c r="Z7" s="56">
        <v>0.26651538299999999</v>
      </c>
      <c r="AA7" s="56" t="s">
        <v>18</v>
      </c>
      <c r="AB7" s="56">
        <v>0.14369353300000001</v>
      </c>
      <c r="AC7" s="65">
        <v>0.45017779499999999</v>
      </c>
      <c r="AD7" s="17"/>
    </row>
    <row r="8" spans="1:31" ht="14" x14ac:dyDescent="0.3">
      <c r="A8" s="18">
        <v>44218</v>
      </c>
      <c r="B8" s="19">
        <v>3</v>
      </c>
      <c r="C8" s="64">
        <v>6563</v>
      </c>
      <c r="D8" s="55">
        <v>34737408</v>
      </c>
      <c r="E8" s="56">
        <v>43.691427580000003</v>
      </c>
      <c r="F8" s="56"/>
      <c r="G8" s="56">
        <v>42.519598619999996</v>
      </c>
      <c r="H8" s="56">
        <v>44.863256540000002</v>
      </c>
      <c r="I8" s="17"/>
      <c r="J8" s="55">
        <v>600</v>
      </c>
      <c r="K8" s="55">
        <v>3638226</v>
      </c>
      <c r="L8" s="56">
        <v>4.4039493089999997</v>
      </c>
      <c r="M8" s="56"/>
      <c r="N8" s="56">
        <v>3.7718518250000002</v>
      </c>
      <c r="O8" s="56">
        <v>5.0360467929999997</v>
      </c>
      <c r="P8" s="17"/>
      <c r="Q8" s="55">
        <v>262</v>
      </c>
      <c r="R8" s="55">
        <v>570533</v>
      </c>
      <c r="S8" s="56">
        <v>10.72098896</v>
      </c>
      <c r="T8" s="56"/>
      <c r="U8" s="56">
        <v>7.6937681900000001</v>
      </c>
      <c r="V8" s="56">
        <v>13.748209729999999</v>
      </c>
      <c r="W8" s="17"/>
      <c r="X8" s="55">
        <v>25</v>
      </c>
      <c r="Y8" s="55">
        <v>406528</v>
      </c>
      <c r="Z8" s="56">
        <v>0.48635046799999998</v>
      </c>
      <c r="AA8" s="56"/>
      <c r="AB8" s="56">
        <v>0.31160575499999998</v>
      </c>
      <c r="AC8" s="65">
        <v>0.72218278300000005</v>
      </c>
      <c r="AD8" s="17"/>
    </row>
    <row r="9" spans="1:31" ht="14" x14ac:dyDescent="0.3">
      <c r="A9" s="18">
        <v>44225</v>
      </c>
      <c r="B9" s="19">
        <v>4</v>
      </c>
      <c r="C9" s="64">
        <v>5164</v>
      </c>
      <c r="D9" s="55">
        <v>32897999</v>
      </c>
      <c r="E9" s="56">
        <v>56.166070040000001</v>
      </c>
      <c r="F9" s="56"/>
      <c r="G9" s="56">
        <v>54.400396819999997</v>
      </c>
      <c r="H9" s="56">
        <v>57.931743259999998</v>
      </c>
      <c r="I9" s="17"/>
      <c r="J9" s="55">
        <v>995</v>
      </c>
      <c r="K9" s="55">
        <v>4895631</v>
      </c>
      <c r="L9" s="56">
        <v>5.521274343</v>
      </c>
      <c r="M9" s="56"/>
      <c r="N9" s="56">
        <v>5.0257497789999999</v>
      </c>
      <c r="O9" s="56">
        <v>6.0167989080000002</v>
      </c>
      <c r="P9" s="17"/>
      <c r="Q9" s="55">
        <v>340</v>
      </c>
      <c r="R9" s="55">
        <v>1142784</v>
      </c>
      <c r="S9" s="56">
        <v>6.8742504719999999</v>
      </c>
      <c r="T9" s="56"/>
      <c r="U9" s="56">
        <v>5.3594476960000001</v>
      </c>
      <c r="V9" s="56">
        <v>8.3890532479999997</v>
      </c>
      <c r="W9" s="17"/>
      <c r="X9" s="55">
        <v>25</v>
      </c>
      <c r="Y9" s="55">
        <v>411079</v>
      </c>
      <c r="Z9" s="56">
        <v>0.49227691899999998</v>
      </c>
      <c r="AA9" s="56"/>
      <c r="AB9" s="56">
        <v>0.31529615500000002</v>
      </c>
      <c r="AC9" s="65">
        <v>0.73112696700000002</v>
      </c>
      <c r="AD9" s="17"/>
    </row>
    <row r="10" spans="1:31" ht="14" x14ac:dyDescent="0.3">
      <c r="A10" s="18">
        <v>44232</v>
      </c>
      <c r="B10" s="19">
        <v>5</v>
      </c>
      <c r="C10" s="64">
        <v>3520</v>
      </c>
      <c r="D10" s="55">
        <v>31004385</v>
      </c>
      <c r="E10" s="56">
        <v>53.051426890000002</v>
      </c>
      <c r="F10" s="56"/>
      <c r="G10" s="56">
        <v>51.014069229999997</v>
      </c>
      <c r="H10" s="56">
        <v>55.088784539999999</v>
      </c>
      <c r="I10" s="17"/>
      <c r="J10" s="55">
        <v>797</v>
      </c>
      <c r="K10" s="55">
        <v>5499801</v>
      </c>
      <c r="L10" s="56">
        <v>5.1476283729999999</v>
      </c>
      <c r="M10" s="56"/>
      <c r="N10" s="56">
        <v>4.731466062</v>
      </c>
      <c r="O10" s="56">
        <v>5.5637906839999998</v>
      </c>
      <c r="P10" s="17"/>
      <c r="Q10" s="55">
        <v>750</v>
      </c>
      <c r="R10" s="55">
        <v>2418413</v>
      </c>
      <c r="S10" s="56">
        <v>7.2121169160000003</v>
      </c>
      <c r="T10" s="56"/>
      <c r="U10" s="56">
        <v>6.19479588</v>
      </c>
      <c r="V10" s="56">
        <v>8.2294379519999996</v>
      </c>
      <c r="W10" s="17"/>
      <c r="X10" s="55">
        <v>17</v>
      </c>
      <c r="Y10" s="55">
        <v>421167</v>
      </c>
      <c r="Z10" s="56">
        <v>0.34580304899999997</v>
      </c>
      <c r="AA10" s="56" t="s">
        <v>18</v>
      </c>
      <c r="AB10" s="56">
        <v>0.19871349299999999</v>
      </c>
      <c r="AC10" s="65">
        <v>0.55759707000000003</v>
      </c>
      <c r="AD10" s="17"/>
    </row>
    <row r="11" spans="1:31" ht="14" x14ac:dyDescent="0.3">
      <c r="A11" s="18">
        <v>44239</v>
      </c>
      <c r="B11" s="19">
        <v>6</v>
      </c>
      <c r="C11" s="64">
        <v>2419</v>
      </c>
      <c r="D11" s="55">
        <v>28941393</v>
      </c>
      <c r="E11" s="56">
        <v>48.755176720000001</v>
      </c>
      <c r="F11" s="56"/>
      <c r="G11" s="56">
        <v>46.502144549999997</v>
      </c>
      <c r="H11" s="56">
        <v>51.008208889999999</v>
      </c>
      <c r="I11" s="17"/>
      <c r="J11" s="55">
        <v>439</v>
      </c>
      <c r="K11" s="55">
        <v>5794547</v>
      </c>
      <c r="L11" s="56">
        <v>5.2998059629999998</v>
      </c>
      <c r="M11" s="56"/>
      <c r="N11" s="56">
        <v>4.748039415</v>
      </c>
      <c r="O11" s="56">
        <v>5.8515725119999997</v>
      </c>
      <c r="P11" s="17"/>
      <c r="Q11" s="55">
        <v>880</v>
      </c>
      <c r="R11" s="55">
        <v>4170308</v>
      </c>
      <c r="S11" s="56">
        <v>4.7345101940000003</v>
      </c>
      <c r="T11" s="56"/>
      <c r="U11" s="56">
        <v>4.2106725899999997</v>
      </c>
      <c r="V11" s="56">
        <v>5.258347798</v>
      </c>
      <c r="W11" s="17"/>
      <c r="X11" s="55">
        <v>17</v>
      </c>
      <c r="Y11" s="55">
        <v>435150</v>
      </c>
      <c r="Z11" s="56">
        <v>0.334205366</v>
      </c>
      <c r="AA11" s="56" t="s">
        <v>18</v>
      </c>
      <c r="AB11" s="56">
        <v>0.19216868600000001</v>
      </c>
      <c r="AC11" s="65">
        <v>0.53872375900000002</v>
      </c>
      <c r="AD11" s="17"/>
    </row>
    <row r="12" spans="1:31" ht="14" x14ac:dyDescent="0.3">
      <c r="A12" s="18">
        <v>44246</v>
      </c>
      <c r="B12" s="19">
        <v>7</v>
      </c>
      <c r="C12" s="64">
        <v>1625</v>
      </c>
      <c r="D12" s="55">
        <v>27025851</v>
      </c>
      <c r="E12" s="56">
        <v>38.018978859999997</v>
      </c>
      <c r="F12" s="56"/>
      <c r="G12" s="56">
        <v>35.886166879999998</v>
      </c>
      <c r="H12" s="56">
        <v>40.151790849999998</v>
      </c>
      <c r="I12" s="17"/>
      <c r="J12" s="55">
        <v>216</v>
      </c>
      <c r="K12" s="55">
        <v>5877448</v>
      </c>
      <c r="L12" s="56">
        <v>4.2717032919999998</v>
      </c>
      <c r="M12" s="56"/>
      <c r="N12" s="56">
        <v>3.5826140620000002</v>
      </c>
      <c r="O12" s="56">
        <v>4.9607925220000002</v>
      </c>
      <c r="P12" s="17"/>
      <c r="Q12" s="55">
        <v>965</v>
      </c>
      <c r="R12" s="55">
        <v>5984438</v>
      </c>
      <c r="S12" s="56">
        <v>4.2099023779999998</v>
      </c>
      <c r="T12" s="56"/>
      <c r="U12" s="56">
        <v>3.804079846</v>
      </c>
      <c r="V12" s="56">
        <v>4.61572491</v>
      </c>
      <c r="W12" s="17"/>
      <c r="X12" s="55">
        <v>25</v>
      </c>
      <c r="Y12" s="55">
        <v>452826</v>
      </c>
      <c r="Z12" s="56">
        <v>0.48178712200000001</v>
      </c>
      <c r="AA12" s="56"/>
      <c r="AB12" s="56">
        <v>0.30888821799999999</v>
      </c>
      <c r="AC12" s="65">
        <v>0.71512836499999999</v>
      </c>
      <c r="AD12" s="17"/>
    </row>
    <row r="13" spans="1:31" ht="14" x14ac:dyDescent="0.3">
      <c r="A13" s="18">
        <v>44253</v>
      </c>
      <c r="B13" s="19">
        <v>8</v>
      </c>
      <c r="C13" s="64">
        <v>997</v>
      </c>
      <c r="D13" s="55">
        <v>25261345</v>
      </c>
      <c r="E13" s="56">
        <v>25.48714468</v>
      </c>
      <c r="F13" s="56"/>
      <c r="G13" s="56">
        <v>23.66218503</v>
      </c>
      <c r="H13" s="56">
        <v>27.312104340000001</v>
      </c>
      <c r="I13" s="17"/>
      <c r="J13" s="55">
        <v>157</v>
      </c>
      <c r="K13" s="55">
        <v>5753015</v>
      </c>
      <c r="L13" s="56">
        <v>5.5558091899999997</v>
      </c>
      <c r="M13" s="56"/>
      <c r="N13" s="56">
        <v>4.5187180099999997</v>
      </c>
      <c r="O13" s="56">
        <v>6.5929003689999996</v>
      </c>
      <c r="P13" s="17"/>
      <c r="Q13" s="55">
        <v>750</v>
      </c>
      <c r="R13" s="55">
        <v>7815751</v>
      </c>
      <c r="S13" s="56">
        <v>2.6914704939999998</v>
      </c>
      <c r="T13" s="56"/>
      <c r="U13" s="56">
        <v>2.443845493</v>
      </c>
      <c r="V13" s="56">
        <v>2.9390954950000001</v>
      </c>
      <c r="W13" s="17"/>
      <c r="X13" s="55">
        <v>6</v>
      </c>
      <c r="Y13" s="55">
        <v>510095</v>
      </c>
      <c r="Z13" s="66" t="s">
        <v>17</v>
      </c>
      <c r="AA13" s="66"/>
      <c r="AB13" s="66" t="s">
        <v>17</v>
      </c>
      <c r="AC13" s="67" t="s">
        <v>17</v>
      </c>
      <c r="AD13" s="17"/>
    </row>
    <row r="14" spans="1:31" ht="14" x14ac:dyDescent="0.3">
      <c r="A14" s="18">
        <v>44260</v>
      </c>
      <c r="B14" s="19">
        <v>9</v>
      </c>
      <c r="C14" s="64">
        <v>654</v>
      </c>
      <c r="D14" s="55">
        <v>23795540</v>
      </c>
      <c r="E14" s="56">
        <v>17.970729309999999</v>
      </c>
      <c r="F14" s="56"/>
      <c r="G14" s="56">
        <v>16.400474559999999</v>
      </c>
      <c r="H14" s="56">
        <v>19.54098406</v>
      </c>
      <c r="I14" s="17"/>
      <c r="J14" s="55">
        <v>93</v>
      </c>
      <c r="K14" s="55">
        <v>5159690</v>
      </c>
      <c r="L14" s="56">
        <v>6.8950153409999997</v>
      </c>
      <c r="M14" s="56"/>
      <c r="N14" s="56">
        <v>5.2495812119999998</v>
      </c>
      <c r="O14" s="56">
        <v>8.8151577139999997</v>
      </c>
      <c r="P14" s="17"/>
      <c r="Q14" s="55">
        <v>549</v>
      </c>
      <c r="R14" s="55">
        <v>9709045</v>
      </c>
      <c r="S14" s="56">
        <v>2.0746603939999999</v>
      </c>
      <c r="T14" s="56"/>
      <c r="U14" s="56">
        <v>1.842090719</v>
      </c>
      <c r="V14" s="56">
        <v>2.3072300700000001</v>
      </c>
      <c r="W14" s="17"/>
      <c r="X14" s="55">
        <v>8</v>
      </c>
      <c r="Y14" s="55">
        <v>676798</v>
      </c>
      <c r="Z14" s="66" t="s">
        <v>17</v>
      </c>
      <c r="AA14" s="66"/>
      <c r="AB14" s="66" t="s">
        <v>17</v>
      </c>
      <c r="AC14" s="67" t="s">
        <v>17</v>
      </c>
      <c r="AD14" s="17"/>
    </row>
    <row r="15" spans="1:31" ht="14" x14ac:dyDescent="0.3">
      <c r="A15" s="18">
        <v>44267</v>
      </c>
      <c r="B15" s="19">
        <v>10</v>
      </c>
      <c r="C15" s="64">
        <v>389</v>
      </c>
      <c r="D15" s="55">
        <v>22496119</v>
      </c>
      <c r="E15" s="56">
        <v>10.60343849</v>
      </c>
      <c r="F15" s="56"/>
      <c r="G15" s="56">
        <v>9.3707010709999992</v>
      </c>
      <c r="H15" s="56">
        <v>11.836175900000001</v>
      </c>
      <c r="I15" s="17"/>
      <c r="J15" s="55">
        <v>33</v>
      </c>
      <c r="K15" s="55">
        <v>4544647</v>
      </c>
      <c r="L15" s="56">
        <v>4.5192160929999998</v>
      </c>
      <c r="M15" s="56"/>
      <c r="N15" s="56">
        <v>2.84153133</v>
      </c>
      <c r="O15" s="56">
        <v>6.6960342800000001</v>
      </c>
      <c r="P15" s="17"/>
      <c r="Q15" s="55">
        <v>457</v>
      </c>
      <c r="R15" s="55">
        <v>11357055</v>
      </c>
      <c r="S15" s="56">
        <v>1.554908417</v>
      </c>
      <c r="T15" s="56"/>
      <c r="U15" s="56">
        <v>1.3942181870000001</v>
      </c>
      <c r="V15" s="56">
        <v>1.7155986459999999</v>
      </c>
      <c r="W15" s="17"/>
      <c r="X15" s="55">
        <v>21</v>
      </c>
      <c r="Y15" s="55">
        <v>944609</v>
      </c>
      <c r="Z15" s="56">
        <v>0.67561554099999999</v>
      </c>
      <c r="AA15" s="56"/>
      <c r="AB15" s="56">
        <v>7.3595332999999999E-2</v>
      </c>
      <c r="AC15" s="65">
        <v>1.5109189750000001</v>
      </c>
      <c r="AD15" s="17"/>
    </row>
    <row r="16" spans="1:31" ht="14" x14ac:dyDescent="0.3">
      <c r="A16" s="18">
        <v>44274</v>
      </c>
      <c r="B16" s="19">
        <v>11</v>
      </c>
      <c r="C16" s="64">
        <v>237</v>
      </c>
      <c r="D16" s="55">
        <v>20222106</v>
      </c>
      <c r="E16" s="56">
        <v>7.2724004129999997</v>
      </c>
      <c r="F16" s="56"/>
      <c r="G16" s="56">
        <v>6.227521512</v>
      </c>
      <c r="H16" s="56">
        <v>8.3172793140000003</v>
      </c>
      <c r="I16" s="20"/>
      <c r="J16" s="55">
        <v>17</v>
      </c>
      <c r="K16" s="55">
        <v>5050636</v>
      </c>
      <c r="L16" s="56">
        <v>3.5863995910000002</v>
      </c>
      <c r="M16" s="56" t="s">
        <v>18</v>
      </c>
      <c r="N16" s="56">
        <v>1.889646851</v>
      </c>
      <c r="O16" s="56">
        <v>6.0295512039999997</v>
      </c>
      <c r="P16" s="20"/>
      <c r="Q16" s="55">
        <v>335</v>
      </c>
      <c r="R16" s="55">
        <v>12736263</v>
      </c>
      <c r="S16" s="56">
        <v>1.172131729</v>
      </c>
      <c r="T16" s="56"/>
      <c r="U16" s="56">
        <v>1.0339510759999999</v>
      </c>
      <c r="V16" s="56">
        <v>1.3103123830000001</v>
      </c>
      <c r="W16" s="17"/>
      <c r="X16" s="55">
        <v>9</v>
      </c>
      <c r="Y16" s="55">
        <v>1333720</v>
      </c>
      <c r="Z16" s="66" t="s">
        <v>17</v>
      </c>
      <c r="AA16" s="66"/>
      <c r="AB16" s="66" t="s">
        <v>17</v>
      </c>
      <c r="AC16" s="67" t="s">
        <v>17</v>
      </c>
      <c r="AD16" s="17"/>
    </row>
    <row r="17" spans="1:30" ht="14" x14ac:dyDescent="0.3">
      <c r="A17" s="18">
        <v>44281</v>
      </c>
      <c r="B17" s="19">
        <v>12</v>
      </c>
      <c r="C17" s="64">
        <v>166</v>
      </c>
      <c r="D17" s="55">
        <v>18316034</v>
      </c>
      <c r="E17" s="56">
        <v>5.3210558170000004</v>
      </c>
      <c r="F17" s="56"/>
      <c r="G17" s="56">
        <v>4.4215183280000003</v>
      </c>
      <c r="H17" s="56">
        <v>6.2205933050000004</v>
      </c>
      <c r="I17" s="20"/>
      <c r="J17" s="55">
        <v>15</v>
      </c>
      <c r="K17" s="55">
        <v>5482719</v>
      </c>
      <c r="L17" s="56">
        <v>4.5273393840000002</v>
      </c>
      <c r="M17" s="56" t="s">
        <v>18</v>
      </c>
      <c r="N17" s="56">
        <v>2.3683704040000002</v>
      </c>
      <c r="O17" s="56">
        <v>7.7112927520000003</v>
      </c>
      <c r="P17" s="20"/>
      <c r="Q17" s="55">
        <v>251</v>
      </c>
      <c r="R17" s="55">
        <v>13360491</v>
      </c>
      <c r="S17" s="56">
        <v>0.96978912699999997</v>
      </c>
      <c r="T17" s="56"/>
      <c r="U17" s="56">
        <v>0.84140819200000005</v>
      </c>
      <c r="V17" s="56">
        <v>1.0981700619999999</v>
      </c>
      <c r="W17" s="17"/>
      <c r="X17" s="55">
        <v>17</v>
      </c>
      <c r="Y17" s="55">
        <v>2183425</v>
      </c>
      <c r="Z17" s="56">
        <v>0.21062979200000001</v>
      </c>
      <c r="AA17" s="56" t="s">
        <v>18</v>
      </c>
      <c r="AB17" s="56">
        <v>4.2062503000000001E-2</v>
      </c>
      <c r="AC17" s="65">
        <v>0.45334956700000001</v>
      </c>
      <c r="AD17" s="17"/>
    </row>
    <row r="18" spans="1:30" ht="14" x14ac:dyDescent="0.3">
      <c r="A18" s="18">
        <v>44288</v>
      </c>
      <c r="B18" s="19">
        <v>13</v>
      </c>
      <c r="C18" s="64">
        <v>90</v>
      </c>
      <c r="D18" s="55">
        <v>17224336</v>
      </c>
      <c r="E18" s="56">
        <v>3.176447553</v>
      </c>
      <c r="F18" s="56"/>
      <c r="G18" s="56">
        <v>2.4897216649999998</v>
      </c>
      <c r="H18" s="56">
        <v>3.9798831859999999</v>
      </c>
      <c r="I18" s="20"/>
      <c r="J18" s="55">
        <v>8</v>
      </c>
      <c r="K18" s="55">
        <v>5251694</v>
      </c>
      <c r="L18" s="66" t="s">
        <v>17</v>
      </c>
      <c r="M18" s="66"/>
      <c r="N18" s="66" t="s">
        <v>17</v>
      </c>
      <c r="O18" s="66" t="s">
        <v>17</v>
      </c>
      <c r="P18" s="20"/>
      <c r="Q18" s="55">
        <v>160</v>
      </c>
      <c r="R18" s="55">
        <v>13067664</v>
      </c>
      <c r="S18" s="56">
        <v>0.87602976499999996</v>
      </c>
      <c r="T18" s="56"/>
      <c r="U18" s="56">
        <v>0.73180700600000004</v>
      </c>
      <c r="V18" s="56">
        <v>1.020252524</v>
      </c>
      <c r="W18" s="17"/>
      <c r="X18" s="55">
        <v>20</v>
      </c>
      <c r="Y18" s="55">
        <v>3792492</v>
      </c>
      <c r="Z18" s="56">
        <v>0.102877495</v>
      </c>
      <c r="AA18" s="56"/>
      <c r="AB18" s="56">
        <v>5.0479285999999998E-2</v>
      </c>
      <c r="AC18" s="65">
        <v>0.17617870799999999</v>
      </c>
      <c r="AD18" s="17"/>
    </row>
    <row r="19" spans="1:30" ht="14" x14ac:dyDescent="0.3">
      <c r="A19" s="18">
        <v>44295</v>
      </c>
      <c r="B19" s="19">
        <v>14</v>
      </c>
      <c r="C19" s="64">
        <v>84</v>
      </c>
      <c r="D19" s="55">
        <v>16960669</v>
      </c>
      <c r="E19" s="56">
        <v>3.1244713549999998</v>
      </c>
      <c r="F19" s="56"/>
      <c r="G19" s="56">
        <v>2.430819611</v>
      </c>
      <c r="H19" s="56">
        <v>3.9405302139999998</v>
      </c>
      <c r="I19" s="20"/>
      <c r="J19" s="55">
        <v>8</v>
      </c>
      <c r="K19" s="55">
        <v>3211115</v>
      </c>
      <c r="L19" s="66" t="s">
        <v>17</v>
      </c>
      <c r="M19" s="66"/>
      <c r="N19" s="66" t="s">
        <v>17</v>
      </c>
      <c r="O19" s="66" t="s">
        <v>17</v>
      </c>
      <c r="P19" s="20"/>
      <c r="Q19" s="55">
        <v>118</v>
      </c>
      <c r="R19" s="55">
        <v>13722962</v>
      </c>
      <c r="S19" s="56">
        <v>1.0292468669999999</v>
      </c>
      <c r="T19" s="56"/>
      <c r="U19" s="56">
        <v>0.83150287599999995</v>
      </c>
      <c r="V19" s="56">
        <v>1.226990858</v>
      </c>
      <c r="W19" s="17"/>
      <c r="X19" s="55">
        <v>27</v>
      </c>
      <c r="Y19" s="55">
        <v>5434251</v>
      </c>
      <c r="Z19" s="56">
        <v>0.120912278</v>
      </c>
      <c r="AA19" s="56"/>
      <c r="AB19" s="56">
        <v>6.0233119000000002E-2</v>
      </c>
      <c r="AC19" s="65">
        <v>0.201870615</v>
      </c>
      <c r="AD19" s="17"/>
    </row>
    <row r="20" spans="1:30" ht="14" x14ac:dyDescent="0.3">
      <c r="A20" s="18">
        <v>44302</v>
      </c>
      <c r="B20" s="19">
        <v>15</v>
      </c>
      <c r="C20" s="64">
        <v>54</v>
      </c>
      <c r="D20" s="55">
        <v>16544821</v>
      </c>
      <c r="E20" s="56">
        <v>2.1067648889999999</v>
      </c>
      <c r="F20" s="56"/>
      <c r="G20" s="56">
        <v>1.5412109700000001</v>
      </c>
      <c r="H20" s="56">
        <v>2.7996519879999999</v>
      </c>
      <c r="I20" s="17"/>
      <c r="J20" s="55">
        <v>5</v>
      </c>
      <c r="K20" s="55">
        <v>1664254</v>
      </c>
      <c r="L20" s="66" t="s">
        <v>17</v>
      </c>
      <c r="M20" s="66"/>
      <c r="N20" s="66" t="s">
        <v>17</v>
      </c>
      <c r="O20" s="66" t="s">
        <v>17</v>
      </c>
      <c r="P20" s="20"/>
      <c r="Q20" s="55">
        <v>98</v>
      </c>
      <c r="R20" s="55">
        <v>13828421</v>
      </c>
      <c r="S20" s="56">
        <v>1.422349031</v>
      </c>
      <c r="T20" s="56"/>
      <c r="U20" s="56">
        <v>1.1262989779999999</v>
      </c>
      <c r="V20" s="56">
        <v>1.766437394</v>
      </c>
      <c r="W20" s="17"/>
      <c r="X20" s="55">
        <v>26</v>
      </c>
      <c r="Y20" s="55">
        <v>7284379</v>
      </c>
      <c r="Z20" s="56">
        <v>7.5819507999999994E-2</v>
      </c>
      <c r="AA20" s="56"/>
      <c r="AB20" s="56">
        <v>4.8864339999999999E-2</v>
      </c>
      <c r="AC20" s="65">
        <v>0.11198282399999999</v>
      </c>
      <c r="AD20" s="17"/>
    </row>
    <row r="21" spans="1:30" ht="14" x14ac:dyDescent="0.3">
      <c r="A21" s="18">
        <v>44309</v>
      </c>
      <c r="B21" s="19">
        <v>16</v>
      </c>
      <c r="C21" s="64">
        <v>46</v>
      </c>
      <c r="D21" s="55">
        <v>15927073</v>
      </c>
      <c r="E21" s="56">
        <v>2.4035263709999999</v>
      </c>
      <c r="F21" s="56"/>
      <c r="G21" s="56">
        <v>1.7196729100000001</v>
      </c>
      <c r="H21" s="56">
        <v>3.2558477090000002</v>
      </c>
      <c r="J21" s="55">
        <v>3</v>
      </c>
      <c r="K21" s="55">
        <v>1078637</v>
      </c>
      <c r="L21" s="66" t="s">
        <v>17</v>
      </c>
      <c r="M21" s="66"/>
      <c r="N21" s="66" t="s">
        <v>17</v>
      </c>
      <c r="O21" s="66" t="s">
        <v>17</v>
      </c>
      <c r="Q21" s="55">
        <v>84</v>
      </c>
      <c r="R21" s="55">
        <v>13095580</v>
      </c>
      <c r="S21" s="56">
        <v>1.82317</v>
      </c>
      <c r="T21" s="56"/>
      <c r="U21" s="56">
        <v>1.403659443</v>
      </c>
      <c r="V21" s="56">
        <v>2.3167106120000001</v>
      </c>
      <c r="X21" s="55">
        <v>14</v>
      </c>
      <c r="Y21" s="55">
        <v>9213443</v>
      </c>
      <c r="Z21" s="56">
        <v>4.2905026999999998E-2</v>
      </c>
      <c r="AA21" s="56" t="s">
        <v>18</v>
      </c>
      <c r="AB21" s="56">
        <v>2.0942511E-2</v>
      </c>
      <c r="AC21" s="65">
        <v>7.5746809999999998E-2</v>
      </c>
      <c r="AD21" s="17"/>
    </row>
    <row r="22" spans="1:30" ht="14" x14ac:dyDescent="0.3">
      <c r="A22" s="18">
        <v>44316</v>
      </c>
      <c r="B22" s="19">
        <v>17</v>
      </c>
      <c r="C22" s="64">
        <v>34</v>
      </c>
      <c r="D22" s="55">
        <v>15509284</v>
      </c>
      <c r="E22" s="56">
        <v>1.7743589259999999</v>
      </c>
      <c r="F22" s="56"/>
      <c r="G22" s="56">
        <v>1.1871196939999999</v>
      </c>
      <c r="H22" s="56">
        <v>2.5333561320000002</v>
      </c>
      <c r="J22" s="55">
        <v>0</v>
      </c>
      <c r="K22" s="55">
        <v>1231898</v>
      </c>
      <c r="L22" s="66" t="s">
        <v>17</v>
      </c>
      <c r="M22" s="66"/>
      <c r="N22" s="66" t="s">
        <v>17</v>
      </c>
      <c r="O22" s="66" t="s">
        <v>17</v>
      </c>
      <c r="Q22" s="55">
        <v>43</v>
      </c>
      <c r="R22" s="55">
        <v>11699011</v>
      </c>
      <c r="S22" s="56">
        <v>1.5032327169999999</v>
      </c>
      <c r="T22" s="56"/>
      <c r="U22" s="56">
        <v>1.0492473550000001</v>
      </c>
      <c r="V22" s="56">
        <v>2.073368007</v>
      </c>
      <c r="X22" s="55">
        <v>24</v>
      </c>
      <c r="Y22" s="55">
        <v>10867328</v>
      </c>
      <c r="Z22" s="56">
        <v>8.4106363000000003E-2</v>
      </c>
      <c r="AA22" s="56"/>
      <c r="AB22" s="56">
        <v>4.5575605999999998E-2</v>
      </c>
      <c r="AC22" s="65">
        <v>0.13643303500000001</v>
      </c>
      <c r="AD22" s="17"/>
    </row>
    <row r="23" spans="1:30" ht="14" x14ac:dyDescent="0.3">
      <c r="A23" s="18">
        <v>44323</v>
      </c>
      <c r="B23" s="19">
        <v>18</v>
      </c>
      <c r="C23" s="64">
        <v>20</v>
      </c>
      <c r="D23" s="55">
        <v>15030867</v>
      </c>
      <c r="E23" s="56">
        <v>1.0293685610000001</v>
      </c>
      <c r="F23" s="56"/>
      <c r="G23" s="56">
        <v>0.59891556800000001</v>
      </c>
      <c r="H23" s="56">
        <v>1.6315404099999999</v>
      </c>
      <c r="I23" s="17"/>
      <c r="J23" s="55">
        <v>0</v>
      </c>
      <c r="K23" s="55">
        <v>1347207</v>
      </c>
      <c r="L23" s="66" t="s">
        <v>17</v>
      </c>
      <c r="M23" s="66"/>
      <c r="N23" s="66" t="s">
        <v>17</v>
      </c>
      <c r="O23" s="66" t="s">
        <v>17</v>
      </c>
      <c r="P23" s="17"/>
      <c r="Q23" s="55">
        <v>36</v>
      </c>
      <c r="R23" s="55">
        <v>10393566</v>
      </c>
      <c r="S23" s="56">
        <v>1.663104015</v>
      </c>
      <c r="T23" s="56"/>
      <c r="U23" s="56">
        <v>1.099049959</v>
      </c>
      <c r="V23" s="56">
        <v>2.386823717</v>
      </c>
      <c r="W23" s="17"/>
      <c r="X23" s="55">
        <v>28</v>
      </c>
      <c r="Y23" s="55">
        <v>12528914</v>
      </c>
      <c r="Z23" s="56">
        <v>7.6336435999999994E-2</v>
      </c>
      <c r="AA23" s="56"/>
      <c r="AB23" s="56">
        <v>4.8564745999999999E-2</v>
      </c>
      <c r="AC23" s="65">
        <v>0.113194289</v>
      </c>
      <c r="AD23" s="17"/>
    </row>
    <row r="24" spans="1:30" ht="14" x14ac:dyDescent="0.3">
      <c r="A24" s="18">
        <v>44330</v>
      </c>
      <c r="B24" s="19">
        <v>19</v>
      </c>
      <c r="C24" s="64">
        <v>19</v>
      </c>
      <c r="D24" s="55">
        <v>14401995</v>
      </c>
      <c r="E24" s="56">
        <v>0.869571329</v>
      </c>
      <c r="F24" s="56" t="s">
        <v>18</v>
      </c>
      <c r="G24" s="56">
        <v>0.49445655799999999</v>
      </c>
      <c r="H24" s="56">
        <v>1.3989909700000001</v>
      </c>
      <c r="I24" s="17"/>
      <c r="J24" s="55">
        <v>2</v>
      </c>
      <c r="K24" s="55">
        <v>1482892</v>
      </c>
      <c r="L24" s="66" t="s">
        <v>17</v>
      </c>
      <c r="M24" s="66"/>
      <c r="N24" s="66" t="s">
        <v>17</v>
      </c>
      <c r="O24" s="66" t="s">
        <v>17</v>
      </c>
      <c r="P24" s="17"/>
      <c r="Q24" s="55">
        <v>27</v>
      </c>
      <c r="R24" s="55">
        <v>9060935</v>
      </c>
      <c r="S24" s="56">
        <v>1.5985877289999999</v>
      </c>
      <c r="T24" s="56"/>
      <c r="U24" s="56">
        <v>0.98068179099999997</v>
      </c>
      <c r="V24" s="56">
        <v>2.4229999009999998</v>
      </c>
      <c r="W24" s="17"/>
      <c r="X24" s="55">
        <v>18</v>
      </c>
      <c r="Y24" s="55">
        <v>14347609</v>
      </c>
      <c r="Z24" s="56">
        <v>5.0692605000000002E-2</v>
      </c>
      <c r="AA24" s="56" t="s">
        <v>18</v>
      </c>
      <c r="AB24" s="56">
        <v>2.900558E-2</v>
      </c>
      <c r="AC24" s="65">
        <v>8.1595046000000004E-2</v>
      </c>
      <c r="AD24" s="17"/>
    </row>
    <row r="25" spans="1:30" ht="14" x14ac:dyDescent="0.3">
      <c r="A25" s="18">
        <v>44337</v>
      </c>
      <c r="B25" s="19">
        <v>20</v>
      </c>
      <c r="C25" s="64">
        <v>17</v>
      </c>
      <c r="D25" s="55">
        <v>13574870</v>
      </c>
      <c r="E25" s="56">
        <v>0.83568920000000002</v>
      </c>
      <c r="F25" s="56" t="s">
        <v>18</v>
      </c>
      <c r="G25" s="56">
        <v>0.44856487699999997</v>
      </c>
      <c r="H25" s="56">
        <v>1.3931089059999999</v>
      </c>
      <c r="I25" s="17"/>
      <c r="J25" s="55">
        <v>0</v>
      </c>
      <c r="K25" s="55">
        <v>1917779</v>
      </c>
      <c r="L25" s="66" t="s">
        <v>17</v>
      </c>
      <c r="M25" s="66"/>
      <c r="N25" s="66" t="s">
        <v>17</v>
      </c>
      <c r="O25" s="66" t="s">
        <v>17</v>
      </c>
      <c r="P25" s="17"/>
      <c r="Q25" s="55">
        <v>19</v>
      </c>
      <c r="R25" s="55">
        <v>7767800</v>
      </c>
      <c r="S25" s="56">
        <v>1.3846712670000001</v>
      </c>
      <c r="T25" s="56"/>
      <c r="U25" s="56">
        <v>0.78785555600000001</v>
      </c>
      <c r="V25" s="56">
        <v>2.2269893609999998</v>
      </c>
      <c r="W25" s="17"/>
      <c r="X25" s="55">
        <v>17</v>
      </c>
      <c r="Y25" s="55">
        <v>16025854</v>
      </c>
      <c r="Z25" s="56">
        <v>4.1345461999999999E-2</v>
      </c>
      <c r="AA25" s="56" t="s">
        <v>18</v>
      </c>
      <c r="AB25" s="56">
        <v>2.4033813000000001E-2</v>
      </c>
      <c r="AC25" s="65">
        <v>6.6272479999999995E-2</v>
      </c>
      <c r="AD25" s="17"/>
    </row>
    <row r="26" spans="1:30" ht="14" x14ac:dyDescent="0.3">
      <c r="A26" s="18">
        <v>44344</v>
      </c>
      <c r="B26" s="19">
        <v>21</v>
      </c>
      <c r="C26" s="64">
        <v>14</v>
      </c>
      <c r="D26" s="55">
        <v>12851588</v>
      </c>
      <c r="E26" s="56">
        <v>0.66854032600000002</v>
      </c>
      <c r="F26" s="56" t="s">
        <v>18</v>
      </c>
      <c r="G26" s="56">
        <v>0.32837577299999998</v>
      </c>
      <c r="H26" s="56">
        <v>1.1772074889999999</v>
      </c>
      <c r="I26" s="17"/>
      <c r="J26" s="55">
        <v>1</v>
      </c>
      <c r="K26" s="55">
        <v>2165004</v>
      </c>
      <c r="L26" s="66" t="s">
        <v>17</v>
      </c>
      <c r="M26" s="66"/>
      <c r="N26" s="66" t="s">
        <v>17</v>
      </c>
      <c r="O26" s="66" t="s">
        <v>17</v>
      </c>
      <c r="P26" s="17"/>
      <c r="Q26" s="55">
        <v>20</v>
      </c>
      <c r="R26" s="55">
        <v>6225273</v>
      </c>
      <c r="S26" s="56">
        <v>1.483891471</v>
      </c>
      <c r="T26" s="56"/>
      <c r="U26" s="56">
        <v>0.81094173999999997</v>
      </c>
      <c r="V26" s="56">
        <v>2.4252982919999999</v>
      </c>
      <c r="W26" s="17"/>
      <c r="X26" s="55">
        <v>23</v>
      </c>
      <c r="Y26" s="55">
        <v>18037385</v>
      </c>
      <c r="Z26" s="56">
        <v>5.8883300999999999E-2</v>
      </c>
      <c r="AA26" s="56"/>
      <c r="AB26" s="56">
        <v>3.6926566000000001E-2</v>
      </c>
      <c r="AC26" s="65">
        <v>8.8900855000000001E-2</v>
      </c>
      <c r="AD26" s="17"/>
    </row>
    <row r="27" spans="1:30" ht="14" x14ac:dyDescent="0.3">
      <c r="A27" s="18">
        <v>44351</v>
      </c>
      <c r="B27" s="19">
        <v>22</v>
      </c>
      <c r="C27" s="64">
        <v>18</v>
      </c>
      <c r="D27" s="55">
        <v>12356247</v>
      </c>
      <c r="E27" s="56">
        <v>0.92320169600000002</v>
      </c>
      <c r="F27" s="56" t="s">
        <v>18</v>
      </c>
      <c r="G27" s="56">
        <v>0.51124771599999996</v>
      </c>
      <c r="H27" s="56">
        <v>1.510206283</v>
      </c>
      <c r="I27" s="17"/>
      <c r="J27" s="55">
        <v>1</v>
      </c>
      <c r="K27" s="55">
        <v>2033912</v>
      </c>
      <c r="L27" s="66" t="s">
        <v>17</v>
      </c>
      <c r="M27" s="66"/>
      <c r="N27" s="66" t="s">
        <v>17</v>
      </c>
      <c r="O27" s="66" t="s">
        <v>17</v>
      </c>
      <c r="P27" s="17"/>
      <c r="Q27" s="55">
        <v>10</v>
      </c>
      <c r="R27" s="55">
        <v>5306785</v>
      </c>
      <c r="S27" s="56">
        <v>0.74552373400000005</v>
      </c>
      <c r="T27" s="56" t="s">
        <v>18</v>
      </c>
      <c r="U27" s="56">
        <v>0.27916366399999998</v>
      </c>
      <c r="V27" s="56">
        <v>1.497348568</v>
      </c>
      <c r="W27" s="17"/>
      <c r="X27" s="55">
        <v>27</v>
      </c>
      <c r="Y27" s="55">
        <v>19575469</v>
      </c>
      <c r="Z27" s="56">
        <v>6.6662387000000004E-2</v>
      </c>
      <c r="AA27" s="56"/>
      <c r="AB27" s="56">
        <v>4.3841921999999998E-2</v>
      </c>
      <c r="AC27" s="65">
        <v>9.7109527000000001E-2</v>
      </c>
      <c r="AD27" s="17"/>
    </row>
    <row r="28" spans="1:30" ht="14" x14ac:dyDescent="0.3">
      <c r="A28" s="18">
        <v>44358</v>
      </c>
      <c r="B28" s="19">
        <v>23</v>
      </c>
      <c r="C28" s="64">
        <v>20</v>
      </c>
      <c r="D28" s="55">
        <v>11757509</v>
      </c>
      <c r="E28" s="56">
        <v>0.82035946800000004</v>
      </c>
      <c r="F28" s="56"/>
      <c r="G28" s="56">
        <v>0.450201978</v>
      </c>
      <c r="H28" s="56">
        <v>1.3381823749999999</v>
      </c>
      <c r="I28" s="17"/>
      <c r="J28" s="55">
        <v>1</v>
      </c>
      <c r="K28" s="55">
        <v>1806631</v>
      </c>
      <c r="L28" s="66" t="s">
        <v>17</v>
      </c>
      <c r="M28" s="66"/>
      <c r="N28" s="66" t="s">
        <v>17</v>
      </c>
      <c r="O28" s="66" t="s">
        <v>17</v>
      </c>
      <c r="P28" s="17"/>
      <c r="Q28" s="55">
        <v>10</v>
      </c>
      <c r="R28" s="55">
        <v>4641596</v>
      </c>
      <c r="S28" s="56">
        <v>1.1605922529999999</v>
      </c>
      <c r="T28" s="56" t="s">
        <v>18</v>
      </c>
      <c r="U28" s="56">
        <v>0.49049452700000001</v>
      </c>
      <c r="V28" s="56">
        <v>2.2408650809999999</v>
      </c>
      <c r="W28" s="17"/>
      <c r="X28" s="55">
        <v>29</v>
      </c>
      <c r="Y28" s="55">
        <v>21059770</v>
      </c>
      <c r="Z28" s="56">
        <v>7.0614053999999996E-2</v>
      </c>
      <c r="AA28" s="56"/>
      <c r="AB28" s="56">
        <v>4.7202308999999998E-2</v>
      </c>
      <c r="AC28" s="65">
        <v>0.10121490900000001</v>
      </c>
      <c r="AD28" s="17"/>
    </row>
    <row r="29" spans="1:30" ht="14" x14ac:dyDescent="0.3">
      <c r="A29" s="18">
        <v>44365</v>
      </c>
      <c r="B29" s="19">
        <v>24</v>
      </c>
      <c r="C29" s="64">
        <v>13</v>
      </c>
      <c r="D29" s="55">
        <v>10970992</v>
      </c>
      <c r="E29" s="56">
        <v>0.56995953099999996</v>
      </c>
      <c r="F29" s="56" t="s">
        <v>18</v>
      </c>
      <c r="G29" s="56">
        <v>0.27116146000000002</v>
      </c>
      <c r="H29" s="56">
        <v>1.0237294640000001</v>
      </c>
      <c r="I29" s="17"/>
      <c r="J29" s="55">
        <v>0</v>
      </c>
      <c r="K29" s="55">
        <v>1870921</v>
      </c>
      <c r="L29" s="66" t="s">
        <v>17</v>
      </c>
      <c r="M29" s="66"/>
      <c r="N29" s="66" t="s">
        <v>17</v>
      </c>
      <c r="O29" s="66" t="s">
        <v>17</v>
      </c>
      <c r="P29" s="17"/>
      <c r="Q29" s="55">
        <v>15</v>
      </c>
      <c r="R29" s="55">
        <v>4381714</v>
      </c>
      <c r="S29" s="56">
        <v>1.3584387600000001</v>
      </c>
      <c r="T29" s="56" t="s">
        <v>18</v>
      </c>
      <c r="U29" s="56">
        <v>0.63946645199999996</v>
      </c>
      <c r="V29" s="56">
        <v>2.4187477880000001</v>
      </c>
      <c r="W29" s="17"/>
      <c r="X29" s="55">
        <v>29</v>
      </c>
      <c r="Y29" s="55">
        <v>22035117</v>
      </c>
      <c r="Z29" s="56">
        <v>6.9928447000000005E-2</v>
      </c>
      <c r="AA29" s="56"/>
      <c r="AB29" s="56">
        <v>4.6785448E-2</v>
      </c>
      <c r="AC29" s="65">
        <v>0.10017803</v>
      </c>
      <c r="AD29" s="17"/>
    </row>
    <row r="30" spans="1:30" ht="14" x14ac:dyDescent="0.3">
      <c r="A30" s="18">
        <v>44372</v>
      </c>
      <c r="B30" s="19">
        <v>25</v>
      </c>
      <c r="C30" s="64">
        <v>26</v>
      </c>
      <c r="D30" s="55">
        <v>10125621</v>
      </c>
      <c r="E30" s="56">
        <v>1.1881918819999999</v>
      </c>
      <c r="F30" s="56"/>
      <c r="G30" s="56">
        <v>0.71771404000000005</v>
      </c>
      <c r="H30" s="56">
        <v>1.819389524</v>
      </c>
      <c r="I30" s="17"/>
      <c r="J30" s="55">
        <v>0</v>
      </c>
      <c r="K30" s="55">
        <v>2221421</v>
      </c>
      <c r="L30" s="66" t="s">
        <v>17</v>
      </c>
      <c r="M30" s="66"/>
      <c r="N30" s="66" t="s">
        <v>17</v>
      </c>
      <c r="O30" s="66" t="s">
        <v>17</v>
      </c>
      <c r="P30" s="17"/>
      <c r="Q30" s="55">
        <v>8</v>
      </c>
      <c r="R30" s="55">
        <v>4235381</v>
      </c>
      <c r="S30" s="66" t="s">
        <v>17</v>
      </c>
      <c r="T30" s="66"/>
      <c r="U30" s="66" t="s">
        <v>17</v>
      </c>
      <c r="V30" s="66" t="s">
        <v>17</v>
      </c>
      <c r="W30" s="17"/>
      <c r="X30" s="55">
        <v>48</v>
      </c>
      <c r="Y30" s="55">
        <v>22669600</v>
      </c>
      <c r="Z30" s="56">
        <v>0.117115108</v>
      </c>
      <c r="AA30" s="56"/>
      <c r="AB30" s="56">
        <v>8.6275110000000002E-2</v>
      </c>
      <c r="AC30" s="65">
        <v>0.155371594</v>
      </c>
      <c r="AD30" s="17"/>
    </row>
    <row r="31" spans="1:30" ht="14" x14ac:dyDescent="0.3">
      <c r="A31" s="21">
        <v>44379</v>
      </c>
      <c r="B31" s="22">
        <v>26</v>
      </c>
      <c r="C31" s="68">
        <v>35</v>
      </c>
      <c r="D31" s="57">
        <v>9531364</v>
      </c>
      <c r="E31" s="58">
        <v>1.611146465</v>
      </c>
      <c r="F31" s="58"/>
      <c r="G31" s="58">
        <v>1.0488771809999999</v>
      </c>
      <c r="H31" s="58">
        <v>2.3351705389999999</v>
      </c>
      <c r="I31" s="23"/>
      <c r="J31" s="57">
        <v>0</v>
      </c>
      <c r="K31" s="57">
        <v>2217764</v>
      </c>
      <c r="L31" s="69" t="s">
        <v>17</v>
      </c>
      <c r="M31" s="69"/>
      <c r="N31" s="69" t="s">
        <v>17</v>
      </c>
      <c r="O31" s="69" t="s">
        <v>17</v>
      </c>
      <c r="P31" s="23"/>
      <c r="Q31" s="57">
        <v>13</v>
      </c>
      <c r="R31" s="57">
        <v>4186631</v>
      </c>
      <c r="S31" s="58">
        <v>2.123983634</v>
      </c>
      <c r="T31" s="58" t="s">
        <v>18</v>
      </c>
      <c r="U31" s="58">
        <v>1.0485734900000001</v>
      </c>
      <c r="V31" s="58">
        <v>3.757156121</v>
      </c>
      <c r="W31" s="23"/>
      <c r="X31" s="57">
        <v>63</v>
      </c>
      <c r="Y31" s="57">
        <v>23309568</v>
      </c>
      <c r="Z31" s="58">
        <v>0.16198743700000001</v>
      </c>
      <c r="AA31" s="58"/>
      <c r="AB31" s="58">
        <v>0.122371619</v>
      </c>
      <c r="AC31" s="70">
        <v>0.2097909</v>
      </c>
      <c r="AD31" s="17"/>
    </row>
    <row r="32" spans="1:30" ht="13" customHeight="1" x14ac:dyDescent="0.35">
      <c r="A32" s="71" t="s">
        <v>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3"/>
      <c r="T32" s="3"/>
      <c r="U32" s="5"/>
      <c r="X32" s="24"/>
      <c r="Y32" s="24"/>
      <c r="AD32" s="17"/>
    </row>
    <row r="33" spans="1:44" ht="13" customHeight="1" x14ac:dyDescent="0.25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6"/>
      <c r="W33" s="26"/>
      <c r="X33" s="26"/>
      <c r="Y33" s="26"/>
      <c r="Z33" s="26"/>
      <c r="AA33" s="26"/>
      <c r="AB33" s="26"/>
    </row>
    <row r="34" spans="1:44" ht="13" x14ac:dyDescent="0.25">
      <c r="A34" s="26" t="s">
        <v>3</v>
      </c>
      <c r="B34" s="26"/>
      <c r="C34" s="28"/>
      <c r="D34" s="28"/>
      <c r="E34" s="28"/>
      <c r="F34" s="28"/>
      <c r="G34" s="28"/>
      <c r="H34" s="28"/>
      <c r="I34" s="26"/>
      <c r="J34" s="26"/>
      <c r="K34" s="28"/>
      <c r="L34" s="28"/>
      <c r="M34" s="28"/>
      <c r="N34" s="28"/>
      <c r="O34" s="28"/>
      <c r="P34" s="26"/>
      <c r="Q34" s="26"/>
      <c r="R34" s="28"/>
      <c r="S34" s="28"/>
      <c r="T34" s="28"/>
      <c r="U34" s="29"/>
      <c r="V34" s="28"/>
      <c r="W34" s="26"/>
      <c r="X34" s="26"/>
      <c r="Y34" s="26"/>
      <c r="Z34" s="26"/>
      <c r="AA34" s="26"/>
      <c r="AB34" s="26"/>
    </row>
    <row r="35" spans="1:44" ht="25" customHeight="1" x14ac:dyDescent="0.25">
      <c r="A35" s="332" t="s">
        <v>51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59"/>
      <c r="P35" s="60"/>
      <c r="Q35" s="60"/>
      <c r="R35" s="60"/>
      <c r="S35" s="60"/>
      <c r="T35" s="60"/>
      <c r="U35" s="60"/>
      <c r="V35" s="60"/>
      <c r="W35" s="26"/>
      <c r="X35" s="26"/>
      <c r="Y35" s="26"/>
      <c r="Z35" s="26"/>
      <c r="AA35" s="26"/>
      <c r="AB35" s="26"/>
    </row>
    <row r="36" spans="1:44" ht="35.25" customHeight="1" x14ac:dyDescent="0.25">
      <c r="A36" s="333" t="s">
        <v>19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26"/>
      <c r="P36" s="26"/>
      <c r="Q36" s="26"/>
      <c r="R36" s="26"/>
      <c r="S36" s="26"/>
      <c r="T36" s="26"/>
      <c r="U36" s="27"/>
      <c r="V36" s="26"/>
      <c r="W36" s="26"/>
      <c r="X36" s="26"/>
      <c r="Y36" s="26"/>
      <c r="Z36" s="26"/>
      <c r="AA36" s="26"/>
      <c r="AB36" s="26"/>
    </row>
    <row r="37" spans="1:44" ht="26.25" customHeight="1" x14ac:dyDescent="0.25">
      <c r="A37" s="333" t="s">
        <v>20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26"/>
      <c r="P37" s="26"/>
      <c r="Q37" s="26"/>
      <c r="R37" s="26"/>
      <c r="S37" s="26"/>
      <c r="T37" s="26"/>
      <c r="U37" s="27"/>
      <c r="V37" s="26"/>
      <c r="W37" s="26"/>
      <c r="X37" s="26"/>
      <c r="Y37" s="26"/>
      <c r="Z37" s="26"/>
      <c r="AA37" s="26"/>
      <c r="AB37" s="26"/>
    </row>
    <row r="38" spans="1:44" ht="37.5" customHeight="1" x14ac:dyDescent="0.25">
      <c r="A38" s="333" t="s">
        <v>21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26"/>
      <c r="P38" s="26"/>
      <c r="Q38" s="26"/>
      <c r="R38" s="26"/>
      <c r="S38" s="26"/>
      <c r="T38" s="26"/>
      <c r="U38" s="27"/>
      <c r="V38" s="26"/>
      <c r="W38" s="26"/>
      <c r="X38" s="26"/>
      <c r="Y38" s="26"/>
      <c r="Z38" s="26"/>
      <c r="AA38" s="26"/>
      <c r="AB38" s="26"/>
    </row>
    <row r="39" spans="1:44" ht="14.5" customHeight="1" x14ac:dyDescent="0.25">
      <c r="A39" s="334" t="s">
        <v>22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26"/>
      <c r="P39" s="26"/>
      <c r="Q39" s="26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</row>
    <row r="40" spans="1:44" ht="12.65" customHeight="1" x14ac:dyDescent="0.25">
      <c r="A40" s="330" t="s">
        <v>23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26"/>
      <c r="P40" s="26"/>
      <c r="Q40" s="26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</row>
    <row r="41" spans="1:44" ht="12.65" customHeight="1" x14ac:dyDescent="0.25">
      <c r="A41" s="324" t="s">
        <v>24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44" ht="26.25" customHeight="1" x14ac:dyDescent="0.25">
      <c r="A42" s="325" t="s">
        <v>52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1"/>
      <c r="P42" s="31"/>
      <c r="Q42" s="31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44" ht="12.6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44" x14ac:dyDescent="0.2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</row>
    <row r="45" spans="1:44" x14ac:dyDescent="0.25">
      <c r="A45" s="327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C45" s="34"/>
      <c r="AD45" s="35"/>
      <c r="AE45" s="24"/>
      <c r="AK45" s="17"/>
      <c r="AR45" s="17"/>
    </row>
    <row r="46" spans="1:44" ht="13" x14ac:dyDescent="0.3">
      <c r="A46" s="36"/>
      <c r="B46" s="37"/>
      <c r="C46" s="37"/>
      <c r="D46" s="37"/>
      <c r="E46" s="37"/>
      <c r="F46" s="38"/>
      <c r="G46" s="39"/>
      <c r="H46" s="39"/>
      <c r="I46" s="37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B46" s="40"/>
      <c r="AC46" s="40"/>
      <c r="AH46" s="5"/>
      <c r="AO46" s="5"/>
    </row>
    <row r="47" spans="1:44" ht="13" x14ac:dyDescent="0.3">
      <c r="A47" s="36"/>
      <c r="B47" s="37"/>
      <c r="C47" s="37"/>
      <c r="D47" s="37"/>
      <c r="E47" s="37"/>
      <c r="F47" s="38"/>
      <c r="G47" s="39"/>
      <c r="H47" s="39"/>
      <c r="I47" s="37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B47" s="40"/>
      <c r="AC47" s="40"/>
      <c r="AH47" s="5"/>
      <c r="AO47" s="5"/>
    </row>
    <row r="48" spans="1:44" ht="13" x14ac:dyDescent="0.3">
      <c r="A48" s="37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T48" s="3"/>
      <c r="AD48" s="41"/>
      <c r="AE48" s="41"/>
      <c r="AF48" s="41"/>
      <c r="AG48" s="41"/>
      <c r="AH48" s="42"/>
      <c r="AI48" s="41"/>
      <c r="AL48" s="41"/>
      <c r="AM48" s="41"/>
      <c r="AN48" s="41"/>
      <c r="AO48" s="42"/>
      <c r="AP48" s="41"/>
    </row>
    <row r="49" spans="4:48" x14ac:dyDescent="0.25">
      <c r="D49" s="5"/>
      <c r="F49" s="3"/>
      <c r="K49" s="5"/>
      <c r="M49" s="3"/>
      <c r="T49" s="3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</row>
    <row r="50" spans="4:48" x14ac:dyDescent="0.25">
      <c r="D50" s="5"/>
      <c r="F50" s="3"/>
      <c r="K50" s="5"/>
      <c r="M50" s="3"/>
      <c r="T50" s="3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43"/>
      <c r="AP50" s="44"/>
      <c r="AQ50" s="44"/>
      <c r="AR50" s="44"/>
      <c r="AS50" s="44"/>
      <c r="AT50" s="44"/>
      <c r="AU50" s="44"/>
      <c r="AV50" s="44"/>
    </row>
    <row r="51" spans="4:48" x14ac:dyDescent="0.25">
      <c r="D51" s="5"/>
      <c r="F51" s="3"/>
      <c r="K51" s="5"/>
      <c r="M51" s="3"/>
      <c r="T51" s="3"/>
      <c r="AH51" s="5"/>
      <c r="AO51" s="5"/>
    </row>
    <row r="52" spans="4:48" x14ac:dyDescent="0.25">
      <c r="D52" s="5"/>
      <c r="F52" s="3"/>
      <c r="K52" s="5"/>
      <c r="M52" s="3"/>
      <c r="T52" s="3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43"/>
    </row>
    <row r="53" spans="4:48" x14ac:dyDescent="0.25">
      <c r="D53" s="5"/>
      <c r="F53" s="3"/>
      <c r="K53" s="5"/>
      <c r="M53" s="3"/>
      <c r="T53" s="3"/>
      <c r="AB53" s="45"/>
      <c r="AC53" s="45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4:48" x14ac:dyDescent="0.25">
      <c r="E54" s="5"/>
      <c r="F54" s="3"/>
      <c r="L54" s="5"/>
      <c r="M54" s="3"/>
      <c r="T54" s="3"/>
      <c r="AB54" s="45"/>
      <c r="AC54" s="45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4:48" x14ac:dyDescent="0.25">
      <c r="E55" s="5"/>
      <c r="F55" s="3"/>
      <c r="L55" s="5"/>
      <c r="M55" s="3"/>
      <c r="T55" s="3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</row>
    <row r="56" spans="4:48" x14ac:dyDescent="0.25">
      <c r="E56" s="5"/>
      <c r="F56" s="3"/>
      <c r="L56" s="5"/>
      <c r="M56" s="3"/>
      <c r="T56" s="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</row>
    <row r="57" spans="4:48" x14ac:dyDescent="0.25">
      <c r="E57" s="5"/>
      <c r="F57" s="3"/>
      <c r="L57" s="5"/>
      <c r="M57" s="3"/>
      <c r="T57" s="3"/>
    </row>
  </sheetData>
  <mergeCells count="20">
    <mergeCell ref="A40:N40"/>
    <mergeCell ref="A2:Y2"/>
    <mergeCell ref="C4:H4"/>
    <mergeCell ref="J4:O4"/>
    <mergeCell ref="Q4:V4"/>
    <mergeCell ref="X4:AC4"/>
    <mergeCell ref="A35:N35"/>
    <mergeCell ref="A36:N36"/>
    <mergeCell ref="A37:N37"/>
    <mergeCell ref="A38:N38"/>
    <mergeCell ref="A39:N39"/>
    <mergeCell ref="AB52:AN52"/>
    <mergeCell ref="AB55:AV55"/>
    <mergeCell ref="AB56:AV56"/>
    <mergeCell ref="A41:O41"/>
    <mergeCell ref="A42:N42"/>
    <mergeCell ref="A44:AA44"/>
    <mergeCell ref="A45:AA45"/>
    <mergeCell ref="AB49:AP49"/>
    <mergeCell ref="AB50:AN50"/>
  </mergeCells>
  <hyperlinks>
    <hyperlink ref="A1" location="Contents!A1" display="Contents" xr:uid="{E06550F3-69C9-40FE-A547-BA45BF545B78}"/>
    <hyperlink ref="A42:N42" r:id="rId1" display="8. These figures represent death occurrences, there can be a delay between the date a death occurred and the date a death was registered. More information can be found in our impact of registration delays release. " xr:uid="{CD05199C-ABFE-4213-93F2-D7BEBC90224B}"/>
    <hyperlink ref="A35:N35" r:id="rId2" display="1. Age-standardised mortality rates per 100,000 people, standardised to the 2013 European Standard Population using 5-year age groups form age 10 and over. For more information, see our methodology article." xr:uid="{7629F549-FCA3-48D3-9EED-7FC141E4026B}"/>
    <hyperlink ref="AE5" r:id="rId3" display="https://www.ons.gov.uk/file?uri=%2fpeoplepopulationandcommunity%2fbirthsdeathsandmarriages%2fdeaths%2fdatasets%2fdeathsbyvaccinationstatusengland%2fdeathsoccurringbetween2januaryand2july2021/dataset.xlsx" xr:uid="{3E659276-45AD-4E87-B6D3-C09F10B10DD1}"/>
  </hyperlinks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106E-A95C-4FD0-9F22-FB0C3F1FF1C7}">
  <dimension ref="A1:AP55"/>
  <sheetViews>
    <sheetView showGridLines="0" zoomScaleNormal="100" workbookViewId="0">
      <pane xSplit="3" ySplit="5" topLeftCell="D6" activePane="bottomRight" state="frozen"/>
      <selection pane="topRight" activeCell="C1" sqref="C1"/>
      <selection pane="bottomLeft" activeCell="A16" sqref="A16"/>
      <selection pane="bottomRight" activeCell="T31" sqref="T31"/>
    </sheetView>
  </sheetViews>
  <sheetFormatPr defaultColWidth="8.81640625" defaultRowHeight="12.5" x14ac:dyDescent="0.25"/>
  <cols>
    <col min="1" max="1" width="12.81640625" style="3" bestFit="1" customWidth="1"/>
    <col min="2" max="2" width="6" style="3" customWidth="1"/>
    <col min="3" max="3" width="15" style="3" hidden="1" customWidth="1"/>
    <col min="4" max="4" width="11.1796875" style="3" customWidth="1"/>
    <col min="5" max="5" width="13.26953125" style="3" customWidth="1"/>
    <col min="6" max="6" width="11.1796875" style="3" customWidth="1"/>
    <col min="7" max="7" width="2.54296875" style="5" customWidth="1"/>
    <col min="8" max="9" width="11.1796875" style="3" hidden="1" customWidth="1"/>
    <col min="10" max="10" width="6" style="3" hidden="1" customWidth="1"/>
    <col min="11" max="11" width="8.453125" style="3" customWidth="1"/>
    <col min="12" max="13" width="11.1796875" style="3" customWidth="1"/>
    <col min="14" max="14" width="2.54296875" style="5" customWidth="1"/>
    <col min="15" max="16" width="11.1796875" style="3" hidden="1" customWidth="1"/>
    <col min="17" max="17" width="6" style="3" hidden="1" customWidth="1"/>
    <col min="18" max="18" width="10.7265625" style="3" customWidth="1"/>
    <col min="19" max="19" width="12.7265625" style="3" customWidth="1"/>
    <col min="20" max="20" width="11.1796875" style="3" customWidth="1"/>
    <col min="21" max="21" width="2.54296875" style="5" customWidth="1"/>
    <col min="22" max="22" width="11.453125" style="3" hidden="1" customWidth="1"/>
    <col min="23" max="23" width="11.81640625" style="3" hidden="1" customWidth="1"/>
    <col min="24" max="24" width="7.1796875" style="3" hidden="1" customWidth="1"/>
    <col min="25" max="25" width="9.26953125" style="3" customWidth="1"/>
    <col min="26" max="26" width="12" style="3" customWidth="1"/>
    <col min="27" max="27" width="11.81640625" style="3" customWidth="1"/>
    <col min="28" max="28" width="3" style="3" customWidth="1"/>
    <col min="29" max="29" width="10.81640625" style="3" hidden="1" customWidth="1"/>
    <col min="30" max="30" width="10.54296875" style="3" hidden="1" customWidth="1"/>
    <col min="31" max="16384" width="8.81640625" style="3"/>
  </cols>
  <sheetData>
    <row r="1" spans="1:34" x14ac:dyDescent="0.25">
      <c r="A1" s="4" t="s">
        <v>0</v>
      </c>
      <c r="B1" s="4"/>
      <c r="C1" s="4"/>
    </row>
    <row r="2" spans="1:34" ht="15" x14ac:dyDescent="0.3">
      <c r="A2" s="46" t="s">
        <v>53</v>
      </c>
      <c r="B2" s="46"/>
      <c r="C2" s="46"/>
    </row>
    <row r="3" spans="1:34" ht="13" thickBot="1" x14ac:dyDescent="0.3">
      <c r="A3" s="47"/>
    </row>
    <row r="4" spans="1:34" ht="15" customHeight="1" x14ac:dyDescent="0.25">
      <c r="A4" s="48"/>
      <c r="B4" s="6"/>
      <c r="C4" s="6"/>
      <c r="D4" s="284" t="s">
        <v>7</v>
      </c>
      <c r="E4" s="284"/>
      <c r="F4" s="284"/>
      <c r="G4" s="284"/>
      <c r="H4" s="284"/>
      <c r="I4" s="284"/>
      <c r="J4" s="7"/>
      <c r="K4" s="284" t="s">
        <v>1</v>
      </c>
      <c r="L4" s="284"/>
      <c r="M4" s="284"/>
      <c r="N4" s="284"/>
      <c r="O4" s="284"/>
      <c r="P4" s="284"/>
      <c r="Q4" s="7"/>
      <c r="R4" s="284" t="s">
        <v>8</v>
      </c>
      <c r="S4" s="284"/>
      <c r="T4" s="284"/>
      <c r="U4" s="284"/>
      <c r="V4" s="284"/>
      <c r="W4" s="284"/>
      <c r="X4" s="7"/>
      <c r="Y4" s="284" t="s">
        <v>9</v>
      </c>
      <c r="Z4" s="284"/>
      <c r="AA4" s="284"/>
      <c r="AB4" s="284"/>
      <c r="AC4" s="284"/>
      <c r="AD4" s="284"/>
    </row>
    <row r="5" spans="1:34" ht="39" x14ac:dyDescent="0.3">
      <c r="A5" s="8" t="s">
        <v>10</v>
      </c>
      <c r="B5" s="9" t="s">
        <v>11</v>
      </c>
      <c r="C5" s="9" t="s">
        <v>11</v>
      </c>
      <c r="D5" s="10" t="s">
        <v>12</v>
      </c>
      <c r="E5" s="10" t="s">
        <v>13</v>
      </c>
      <c r="F5" s="11" t="s">
        <v>14</v>
      </c>
      <c r="G5" s="12"/>
      <c r="H5" s="10" t="s">
        <v>15</v>
      </c>
      <c r="I5" s="10" t="s">
        <v>16</v>
      </c>
      <c r="J5" s="10"/>
      <c r="K5" s="10" t="s">
        <v>12</v>
      </c>
      <c r="L5" s="10" t="s">
        <v>13</v>
      </c>
      <c r="M5" s="11" t="s">
        <v>14</v>
      </c>
      <c r="N5" s="12"/>
      <c r="O5" s="10" t="s">
        <v>15</v>
      </c>
      <c r="P5" s="10" t="s">
        <v>16</v>
      </c>
      <c r="Q5" s="10"/>
      <c r="R5" s="10" t="s">
        <v>12</v>
      </c>
      <c r="S5" s="10" t="s">
        <v>13</v>
      </c>
      <c r="T5" s="11" t="s">
        <v>14</v>
      </c>
      <c r="U5" s="12"/>
      <c r="V5" s="10" t="s">
        <v>15</v>
      </c>
      <c r="W5" s="10" t="s">
        <v>16</v>
      </c>
      <c r="X5" s="10"/>
      <c r="Y5" s="10" t="s">
        <v>12</v>
      </c>
      <c r="Z5" s="10" t="s">
        <v>13</v>
      </c>
      <c r="AA5" s="11" t="s">
        <v>14</v>
      </c>
      <c r="AB5" s="12"/>
      <c r="AC5" s="10" t="s">
        <v>15</v>
      </c>
      <c r="AD5" s="10" t="s">
        <v>16</v>
      </c>
    </row>
    <row r="6" spans="1:34" ht="14" x14ac:dyDescent="0.3">
      <c r="A6" s="14">
        <v>44204</v>
      </c>
      <c r="B6" s="15">
        <v>1</v>
      </c>
      <c r="C6" s="49" t="s">
        <v>25</v>
      </c>
      <c r="D6" s="53">
        <v>7412</v>
      </c>
      <c r="E6" s="53">
        <v>37803666</v>
      </c>
      <c r="F6" s="54">
        <v>22.0380745</v>
      </c>
      <c r="G6" s="54"/>
      <c r="H6" s="54">
        <v>21.53095064</v>
      </c>
      <c r="I6" s="54">
        <v>22.54519835</v>
      </c>
      <c r="J6" s="16"/>
      <c r="K6" s="53">
        <v>378</v>
      </c>
      <c r="L6" s="53">
        <v>1199228</v>
      </c>
      <c r="M6" s="54">
        <v>8.8291187919999992</v>
      </c>
      <c r="N6" s="54"/>
      <c r="O6" s="54">
        <v>6.8404479890000003</v>
      </c>
      <c r="P6" s="54">
        <v>10.81778959</v>
      </c>
      <c r="Q6" s="16"/>
      <c r="R6" s="53">
        <v>42</v>
      </c>
      <c r="S6" s="53">
        <v>89296</v>
      </c>
      <c r="T6" s="54">
        <v>5.6472656969999999</v>
      </c>
      <c r="U6" s="54"/>
      <c r="V6" s="54">
        <v>4.0548025770000002</v>
      </c>
      <c r="W6" s="54">
        <v>7.6526550909999997</v>
      </c>
      <c r="X6" s="16"/>
      <c r="Y6" s="53">
        <v>17</v>
      </c>
      <c r="Z6" s="53">
        <v>267629</v>
      </c>
      <c r="AA6" s="54">
        <v>1.4650133830000001</v>
      </c>
      <c r="AB6" s="54" t="s">
        <v>18</v>
      </c>
      <c r="AC6" s="54">
        <v>-0.29842308299999998</v>
      </c>
      <c r="AD6" s="54">
        <v>4.0041827870000004</v>
      </c>
      <c r="AH6" s="3">
        <f>D6/E6</f>
        <v>1.9606564082964864E-4</v>
      </c>
    </row>
    <row r="7" spans="1:34" ht="14" x14ac:dyDescent="0.3">
      <c r="A7" s="18">
        <v>44211</v>
      </c>
      <c r="B7" s="19">
        <v>2</v>
      </c>
      <c r="C7" s="35" t="s">
        <v>26</v>
      </c>
      <c r="D7" s="55">
        <v>6900</v>
      </c>
      <c r="E7" s="55">
        <v>36511424</v>
      </c>
      <c r="F7" s="56">
        <v>26.53076824</v>
      </c>
      <c r="G7" s="56"/>
      <c r="H7" s="56">
        <v>25.87826424</v>
      </c>
      <c r="I7" s="56">
        <v>27.183272240000001</v>
      </c>
      <c r="J7" s="17"/>
      <c r="K7" s="55">
        <v>690</v>
      </c>
      <c r="L7" s="55">
        <v>2110062</v>
      </c>
      <c r="M7" s="56">
        <v>8.9000132979999993</v>
      </c>
      <c r="N7" s="56"/>
      <c r="O7" s="56">
        <v>7.5796096640000004</v>
      </c>
      <c r="P7" s="56">
        <v>10.220416930000001</v>
      </c>
      <c r="Q7" s="17"/>
      <c r="R7" s="55">
        <v>195</v>
      </c>
      <c r="S7" s="55">
        <v>335607</v>
      </c>
      <c r="T7" s="56">
        <v>10.51859894</v>
      </c>
      <c r="U7" s="56"/>
      <c r="V7" s="56">
        <v>6.7267519389999997</v>
      </c>
      <c r="W7" s="56">
        <v>14.310445939999999</v>
      </c>
      <c r="X7" s="17"/>
      <c r="Y7" s="55">
        <v>87</v>
      </c>
      <c r="Z7" s="55">
        <v>399963</v>
      </c>
      <c r="AA7" s="56">
        <v>3.3447093799999998</v>
      </c>
      <c r="AB7" s="56"/>
      <c r="AC7" s="56">
        <v>0.28416361400000001</v>
      </c>
      <c r="AD7" s="56">
        <v>6.9351305830000003</v>
      </c>
    </row>
    <row r="8" spans="1:34" ht="14" x14ac:dyDescent="0.3">
      <c r="A8" s="18">
        <v>44218</v>
      </c>
      <c r="B8" s="19">
        <v>3</v>
      </c>
      <c r="C8" s="35" t="s">
        <v>27</v>
      </c>
      <c r="D8" s="55">
        <v>6049</v>
      </c>
      <c r="E8" s="55">
        <v>34737408</v>
      </c>
      <c r="F8" s="56">
        <v>37.626975420000001</v>
      </c>
      <c r="G8" s="56"/>
      <c r="H8" s="56">
        <v>36.558148080000002</v>
      </c>
      <c r="I8" s="56">
        <v>38.695802759999999</v>
      </c>
      <c r="J8" s="17"/>
      <c r="K8" s="55">
        <v>1315</v>
      </c>
      <c r="L8" s="55">
        <v>3638226</v>
      </c>
      <c r="M8" s="56">
        <v>9.2810948280000005</v>
      </c>
      <c r="N8" s="56"/>
      <c r="O8" s="56">
        <v>8.3927151119999994</v>
      </c>
      <c r="P8" s="56">
        <v>10.16947454</v>
      </c>
      <c r="Q8" s="17"/>
      <c r="R8" s="55">
        <v>297</v>
      </c>
      <c r="S8" s="55">
        <v>570533</v>
      </c>
      <c r="T8" s="56">
        <v>11.07392885</v>
      </c>
      <c r="U8" s="56"/>
      <c r="V8" s="56">
        <v>8.0713929659999994</v>
      </c>
      <c r="W8" s="56">
        <v>14.07646474</v>
      </c>
      <c r="X8" s="17"/>
      <c r="Y8" s="55">
        <v>141</v>
      </c>
      <c r="Z8" s="55">
        <v>406528</v>
      </c>
      <c r="AA8" s="56">
        <v>5.0863526050000001</v>
      </c>
      <c r="AB8" s="56"/>
      <c r="AC8" s="56">
        <v>2.7446137610000001</v>
      </c>
      <c r="AD8" s="56">
        <v>7.4280914490000001</v>
      </c>
    </row>
    <row r="9" spans="1:34" ht="14" x14ac:dyDescent="0.3">
      <c r="A9" s="18">
        <v>44225</v>
      </c>
      <c r="B9" s="19">
        <v>4</v>
      </c>
      <c r="C9" s="35" t="s">
        <v>28</v>
      </c>
      <c r="D9" s="55">
        <v>4945</v>
      </c>
      <c r="E9" s="55">
        <v>32897999</v>
      </c>
      <c r="F9" s="56">
        <v>47.718083059999998</v>
      </c>
      <c r="G9" s="56"/>
      <c r="H9" s="56">
        <v>46.126649010000001</v>
      </c>
      <c r="I9" s="56">
        <v>49.309517120000002</v>
      </c>
      <c r="J9" s="17"/>
      <c r="K9" s="55">
        <v>1999</v>
      </c>
      <c r="L9" s="55">
        <v>4895631</v>
      </c>
      <c r="M9" s="56">
        <v>10.71440364</v>
      </c>
      <c r="N9" s="56"/>
      <c r="O9" s="56">
        <v>10.04952396</v>
      </c>
      <c r="P9" s="56">
        <v>11.379283320000001</v>
      </c>
      <c r="Q9" s="17"/>
      <c r="R9" s="55">
        <v>541</v>
      </c>
      <c r="S9" s="55">
        <v>1142784</v>
      </c>
      <c r="T9" s="56">
        <v>12.227642550000001</v>
      </c>
      <c r="U9" s="56"/>
      <c r="V9" s="56">
        <v>10.007809200000001</v>
      </c>
      <c r="W9" s="56">
        <v>14.44747591</v>
      </c>
      <c r="X9" s="17"/>
      <c r="Y9" s="55">
        <v>139</v>
      </c>
      <c r="Z9" s="55">
        <v>411079</v>
      </c>
      <c r="AA9" s="56">
        <v>3.2818704520000002</v>
      </c>
      <c r="AB9" s="56"/>
      <c r="AC9" s="56">
        <v>2.1508679220000002</v>
      </c>
      <c r="AD9" s="56">
        <v>4.4128729819999997</v>
      </c>
    </row>
    <row r="10" spans="1:34" ht="14" x14ac:dyDescent="0.3">
      <c r="A10" s="18">
        <v>44232</v>
      </c>
      <c r="B10" s="19">
        <v>5</v>
      </c>
      <c r="C10" s="35" t="s">
        <v>29</v>
      </c>
      <c r="D10" s="55">
        <v>4100</v>
      </c>
      <c r="E10" s="55">
        <v>31004385</v>
      </c>
      <c r="F10" s="56">
        <v>55.376919950000001</v>
      </c>
      <c r="G10" s="56"/>
      <c r="H10" s="56">
        <v>53.333412709999998</v>
      </c>
      <c r="I10" s="56">
        <v>57.420427189999998</v>
      </c>
      <c r="J10" s="17"/>
      <c r="K10" s="55">
        <v>1911</v>
      </c>
      <c r="L10" s="55">
        <v>5499801</v>
      </c>
      <c r="M10" s="56">
        <v>13.12002013</v>
      </c>
      <c r="N10" s="56"/>
      <c r="O10" s="56">
        <v>12.357580609999999</v>
      </c>
      <c r="P10" s="56">
        <v>13.88245964</v>
      </c>
      <c r="Q10" s="17"/>
      <c r="R10" s="55">
        <v>1149</v>
      </c>
      <c r="S10" s="55">
        <v>2418413</v>
      </c>
      <c r="T10" s="56">
        <v>11.07271238</v>
      </c>
      <c r="U10" s="56"/>
      <c r="V10" s="56">
        <v>9.8795739670000007</v>
      </c>
      <c r="W10" s="56">
        <v>12.26585079</v>
      </c>
      <c r="X10" s="17"/>
      <c r="Y10" s="55">
        <v>184</v>
      </c>
      <c r="Z10" s="55">
        <v>421167</v>
      </c>
      <c r="AA10" s="56">
        <v>6.2222133780000002</v>
      </c>
      <c r="AB10" s="56"/>
      <c r="AC10" s="56">
        <v>3.3177706699999998</v>
      </c>
      <c r="AD10" s="56">
        <v>9.1266560850000005</v>
      </c>
    </row>
    <row r="11" spans="1:34" ht="14" x14ac:dyDescent="0.3">
      <c r="A11" s="18">
        <v>44239</v>
      </c>
      <c r="B11" s="19">
        <v>6</v>
      </c>
      <c r="C11" s="35" t="s">
        <v>30</v>
      </c>
      <c r="D11" s="55">
        <v>3401</v>
      </c>
      <c r="E11" s="55">
        <v>28941393</v>
      </c>
      <c r="F11" s="56">
        <v>63.871644449999998</v>
      </c>
      <c r="G11" s="56"/>
      <c r="H11" s="56">
        <v>61.314795259999997</v>
      </c>
      <c r="I11" s="56">
        <v>66.428493630000006</v>
      </c>
      <c r="J11" s="17"/>
      <c r="K11" s="55">
        <v>1508</v>
      </c>
      <c r="L11" s="55">
        <v>5794547</v>
      </c>
      <c r="M11" s="56">
        <v>16.72510643</v>
      </c>
      <c r="N11" s="56"/>
      <c r="O11" s="56">
        <v>15.735931259999999</v>
      </c>
      <c r="P11" s="56">
        <v>17.7142816</v>
      </c>
      <c r="Q11" s="17"/>
      <c r="R11" s="55">
        <v>2009</v>
      </c>
      <c r="S11" s="55">
        <v>4170308</v>
      </c>
      <c r="T11" s="56">
        <v>11.64792737</v>
      </c>
      <c r="U11" s="56"/>
      <c r="V11" s="56">
        <v>10.747954289999999</v>
      </c>
      <c r="W11" s="56">
        <v>12.547900439999999</v>
      </c>
      <c r="X11" s="17"/>
      <c r="Y11" s="55">
        <v>202</v>
      </c>
      <c r="Z11" s="55">
        <v>435150</v>
      </c>
      <c r="AA11" s="56">
        <v>4.8415837130000003</v>
      </c>
      <c r="AB11" s="56"/>
      <c r="AC11" s="56">
        <v>2.797859345</v>
      </c>
      <c r="AD11" s="56">
        <v>6.8853080799999997</v>
      </c>
    </row>
    <row r="12" spans="1:34" ht="14" x14ac:dyDescent="0.3">
      <c r="A12" s="18">
        <v>44246</v>
      </c>
      <c r="B12" s="19">
        <v>7</v>
      </c>
      <c r="C12" s="35" t="s">
        <v>31</v>
      </c>
      <c r="D12" s="55">
        <v>2998</v>
      </c>
      <c r="E12" s="55">
        <v>27025851</v>
      </c>
      <c r="F12" s="56">
        <v>66.10999631</v>
      </c>
      <c r="G12" s="56"/>
      <c r="H12" s="56">
        <v>63.313793609999998</v>
      </c>
      <c r="I12" s="56">
        <v>68.906199000000001</v>
      </c>
      <c r="J12" s="17"/>
      <c r="K12" s="55">
        <v>1325</v>
      </c>
      <c r="L12" s="55">
        <v>5877448</v>
      </c>
      <c r="M12" s="56">
        <v>24.844671479999999</v>
      </c>
      <c r="N12" s="56"/>
      <c r="O12" s="56">
        <v>23.171986990000001</v>
      </c>
      <c r="P12" s="56">
        <v>26.517355970000001</v>
      </c>
      <c r="Q12" s="17"/>
      <c r="R12" s="55">
        <v>2999</v>
      </c>
      <c r="S12" s="55">
        <v>5984438</v>
      </c>
      <c r="T12" s="56">
        <v>13.07728904</v>
      </c>
      <c r="U12" s="56"/>
      <c r="V12" s="56">
        <v>12.3617875</v>
      </c>
      <c r="W12" s="56">
        <v>13.792790569999999</v>
      </c>
      <c r="X12" s="17"/>
      <c r="Y12" s="55">
        <v>206</v>
      </c>
      <c r="Z12" s="55">
        <v>452826</v>
      </c>
      <c r="AA12" s="56">
        <v>7.5539462669999997</v>
      </c>
      <c r="AB12" s="56"/>
      <c r="AC12" s="56">
        <v>4.3548303940000004</v>
      </c>
      <c r="AD12" s="56">
        <v>10.753062140000001</v>
      </c>
    </row>
    <row r="13" spans="1:34" ht="14" x14ac:dyDescent="0.3">
      <c r="A13" s="18">
        <v>44253</v>
      </c>
      <c r="B13" s="19">
        <v>8</v>
      </c>
      <c r="C13" s="35" t="s">
        <v>32</v>
      </c>
      <c r="D13" s="55">
        <v>2198</v>
      </c>
      <c r="E13" s="55">
        <v>25261345</v>
      </c>
      <c r="F13" s="56">
        <v>53.890173900000001</v>
      </c>
      <c r="G13" s="56"/>
      <c r="H13" s="56">
        <v>51.251537499999998</v>
      </c>
      <c r="I13" s="56">
        <v>56.528810300000004</v>
      </c>
      <c r="J13" s="17"/>
      <c r="K13" s="55">
        <v>1105</v>
      </c>
      <c r="L13" s="55">
        <v>5753015</v>
      </c>
      <c r="M13" s="56">
        <v>33.66366094</v>
      </c>
      <c r="N13" s="56"/>
      <c r="O13" s="56">
        <v>31.158036809999999</v>
      </c>
      <c r="P13" s="56">
        <v>36.169285070000001</v>
      </c>
      <c r="Q13" s="17"/>
      <c r="R13" s="55">
        <v>3705</v>
      </c>
      <c r="S13" s="55">
        <v>7815751</v>
      </c>
      <c r="T13" s="56">
        <v>14.387397099999999</v>
      </c>
      <c r="U13" s="56"/>
      <c r="V13" s="56">
        <v>13.74294935</v>
      </c>
      <c r="W13" s="56">
        <v>15.03184486</v>
      </c>
      <c r="X13" s="17"/>
      <c r="Y13" s="55">
        <v>235</v>
      </c>
      <c r="Z13" s="55">
        <v>510095</v>
      </c>
      <c r="AA13" s="56">
        <v>5.8840064600000002</v>
      </c>
      <c r="AB13" s="56"/>
      <c r="AC13" s="56">
        <v>3.8495061439999998</v>
      </c>
      <c r="AD13" s="56">
        <v>7.9185067760000001</v>
      </c>
    </row>
    <row r="14" spans="1:34" ht="14" x14ac:dyDescent="0.3">
      <c r="A14" s="18">
        <v>44260</v>
      </c>
      <c r="B14" s="19">
        <v>9</v>
      </c>
      <c r="C14" s="35" t="s">
        <v>33</v>
      </c>
      <c r="D14" s="55">
        <v>1839</v>
      </c>
      <c r="E14" s="55">
        <v>23795540</v>
      </c>
      <c r="F14" s="56">
        <v>47.914960659999998</v>
      </c>
      <c r="G14" s="56"/>
      <c r="H14" s="56">
        <v>45.349938350000002</v>
      </c>
      <c r="I14" s="56">
        <v>50.479982970000002</v>
      </c>
      <c r="J14" s="17"/>
      <c r="K14" s="55">
        <v>668</v>
      </c>
      <c r="L14" s="55">
        <v>5159690</v>
      </c>
      <c r="M14" s="56">
        <v>43.91464379</v>
      </c>
      <c r="N14" s="56"/>
      <c r="O14" s="56">
        <v>39.718428690000003</v>
      </c>
      <c r="P14" s="56">
        <v>48.110858899999997</v>
      </c>
      <c r="Q14" s="17"/>
      <c r="R14" s="55">
        <v>3996</v>
      </c>
      <c r="S14" s="55">
        <v>9709045</v>
      </c>
      <c r="T14" s="56">
        <v>14.525608800000001</v>
      </c>
      <c r="U14" s="56"/>
      <c r="V14" s="56">
        <v>13.941597939999999</v>
      </c>
      <c r="W14" s="56">
        <v>15.10961966</v>
      </c>
      <c r="X14" s="17"/>
      <c r="Y14" s="55">
        <v>257</v>
      </c>
      <c r="Z14" s="55">
        <v>676798</v>
      </c>
      <c r="AA14" s="56">
        <v>7.796158395</v>
      </c>
      <c r="AB14" s="56"/>
      <c r="AC14" s="56">
        <v>5.4602693579999997</v>
      </c>
      <c r="AD14" s="56">
        <v>10.13204743</v>
      </c>
    </row>
    <row r="15" spans="1:34" ht="14" x14ac:dyDescent="0.3">
      <c r="A15" s="18">
        <v>44267</v>
      </c>
      <c r="B15" s="19">
        <v>10</v>
      </c>
      <c r="C15" s="35" t="s">
        <v>34</v>
      </c>
      <c r="D15" s="55">
        <v>1620</v>
      </c>
      <c r="E15" s="55">
        <v>22496119</v>
      </c>
      <c r="F15" s="56">
        <v>45.435723770000003</v>
      </c>
      <c r="G15" s="56"/>
      <c r="H15" s="56">
        <v>42.864130809999999</v>
      </c>
      <c r="I15" s="56">
        <v>48.007316729999999</v>
      </c>
      <c r="J15" s="17"/>
      <c r="K15" s="55">
        <v>444</v>
      </c>
      <c r="L15" s="55">
        <v>4544647</v>
      </c>
      <c r="M15" s="56">
        <v>45.324018180000003</v>
      </c>
      <c r="N15" s="56"/>
      <c r="O15" s="56">
        <v>39.807167399999997</v>
      </c>
      <c r="P15" s="56">
        <v>50.840868960000002</v>
      </c>
      <c r="Q15" s="17"/>
      <c r="R15" s="55">
        <v>4713</v>
      </c>
      <c r="S15" s="55">
        <v>11357055</v>
      </c>
      <c r="T15" s="56">
        <v>16.655014229999999</v>
      </c>
      <c r="U15" s="56"/>
      <c r="V15" s="56">
        <v>16.01138345</v>
      </c>
      <c r="W15" s="56">
        <v>17.298645010000001</v>
      </c>
      <c r="X15" s="17"/>
      <c r="Y15" s="55">
        <v>342</v>
      </c>
      <c r="Z15" s="55">
        <v>944609</v>
      </c>
      <c r="AA15" s="56">
        <v>7.440950548</v>
      </c>
      <c r="AB15" s="56"/>
      <c r="AC15" s="56">
        <v>5.5838712819999996</v>
      </c>
      <c r="AD15" s="56">
        <v>9.2980298139999995</v>
      </c>
    </row>
    <row r="16" spans="1:34" ht="14" x14ac:dyDescent="0.3">
      <c r="A16" s="18">
        <v>44274</v>
      </c>
      <c r="B16" s="19">
        <v>11</v>
      </c>
      <c r="C16" s="35" t="s">
        <v>35</v>
      </c>
      <c r="D16" s="55">
        <v>1372</v>
      </c>
      <c r="E16" s="55">
        <v>20222106</v>
      </c>
      <c r="F16" s="56">
        <v>42.285285479999999</v>
      </c>
      <c r="G16" s="56"/>
      <c r="H16" s="56">
        <v>39.755744919999998</v>
      </c>
      <c r="I16" s="56">
        <v>44.814826050000001</v>
      </c>
      <c r="J16" s="20"/>
      <c r="K16" s="55">
        <v>319</v>
      </c>
      <c r="L16" s="55">
        <v>5050636</v>
      </c>
      <c r="M16" s="56">
        <v>52.453066730000003</v>
      </c>
      <c r="N16" s="56"/>
      <c r="O16" s="56">
        <v>35.258550739999997</v>
      </c>
      <c r="P16" s="56">
        <v>69.647582709999995</v>
      </c>
      <c r="Q16" s="20"/>
      <c r="R16" s="55">
        <v>4819</v>
      </c>
      <c r="S16" s="55">
        <v>12736263</v>
      </c>
      <c r="T16" s="56">
        <v>16.925470690000001</v>
      </c>
      <c r="U16" s="56"/>
      <c r="V16" s="56">
        <v>16.390169799999999</v>
      </c>
      <c r="W16" s="56">
        <v>17.460771579999999</v>
      </c>
      <c r="X16" s="17"/>
      <c r="Y16" s="55">
        <v>470</v>
      </c>
      <c r="Z16" s="55">
        <v>1333720</v>
      </c>
      <c r="AA16" s="56">
        <v>7.039687121</v>
      </c>
      <c r="AB16" s="56"/>
      <c r="AC16" s="56">
        <v>5.7555844199999999</v>
      </c>
      <c r="AD16" s="56">
        <v>8.3237898210000001</v>
      </c>
    </row>
    <row r="17" spans="1:30" ht="14" x14ac:dyDescent="0.3">
      <c r="A17" s="18">
        <v>44281</v>
      </c>
      <c r="B17" s="19">
        <v>12</v>
      </c>
      <c r="C17" s="35" t="s">
        <v>36</v>
      </c>
      <c r="D17" s="55">
        <v>1183</v>
      </c>
      <c r="E17" s="55">
        <v>18316034</v>
      </c>
      <c r="F17" s="56">
        <v>40.717874700000003</v>
      </c>
      <c r="G17" s="56"/>
      <c r="H17" s="56">
        <v>38.168253489999998</v>
      </c>
      <c r="I17" s="56">
        <v>43.2674959</v>
      </c>
      <c r="J17" s="20"/>
      <c r="K17" s="55">
        <v>235</v>
      </c>
      <c r="L17" s="55">
        <v>5482719</v>
      </c>
      <c r="M17" s="56">
        <v>35.983927690000002</v>
      </c>
      <c r="N17" s="56"/>
      <c r="O17" s="56">
        <v>29.217647070000002</v>
      </c>
      <c r="P17" s="56">
        <v>42.750208309999998</v>
      </c>
      <c r="Q17" s="20"/>
      <c r="R17" s="55">
        <v>4786</v>
      </c>
      <c r="S17" s="55">
        <v>13360491</v>
      </c>
      <c r="T17" s="56">
        <v>18.69707987</v>
      </c>
      <c r="U17" s="56"/>
      <c r="V17" s="56">
        <v>18.105001819999998</v>
      </c>
      <c r="W17" s="56">
        <v>19.289157929999998</v>
      </c>
      <c r="X17" s="17"/>
      <c r="Y17" s="55">
        <v>711</v>
      </c>
      <c r="Z17" s="55">
        <v>2183425</v>
      </c>
      <c r="AA17" s="56">
        <v>7.3225674039999999</v>
      </c>
      <c r="AB17" s="56"/>
      <c r="AC17" s="56">
        <v>6.3996929529999997</v>
      </c>
      <c r="AD17" s="56">
        <v>8.2454418549999993</v>
      </c>
    </row>
    <row r="18" spans="1:30" ht="14" x14ac:dyDescent="0.3">
      <c r="A18" s="18">
        <v>44288</v>
      </c>
      <c r="B18" s="19">
        <v>13</v>
      </c>
      <c r="C18" s="35" t="s">
        <v>37</v>
      </c>
      <c r="D18" s="55">
        <v>1025</v>
      </c>
      <c r="E18" s="55">
        <v>17224336</v>
      </c>
      <c r="F18" s="56">
        <v>38.831251020000003</v>
      </c>
      <c r="G18" s="56"/>
      <c r="H18" s="56">
        <v>36.252589980000003</v>
      </c>
      <c r="I18" s="56">
        <v>41.409912050000003</v>
      </c>
      <c r="J18" s="20"/>
      <c r="K18" s="55">
        <v>190</v>
      </c>
      <c r="L18" s="55">
        <v>5251694</v>
      </c>
      <c r="M18" s="56">
        <v>39.931248910000001</v>
      </c>
      <c r="N18" s="56"/>
      <c r="O18" s="56">
        <v>31.936037129999999</v>
      </c>
      <c r="P18" s="56">
        <v>47.9264607</v>
      </c>
      <c r="Q18" s="20"/>
      <c r="R18" s="55">
        <v>4531</v>
      </c>
      <c r="S18" s="55">
        <v>13067664</v>
      </c>
      <c r="T18" s="56">
        <v>24.32257315</v>
      </c>
      <c r="U18" s="56"/>
      <c r="V18" s="56">
        <v>23.548486220000001</v>
      </c>
      <c r="W18" s="56">
        <v>25.096660069999999</v>
      </c>
      <c r="X18" s="17"/>
      <c r="Y18" s="55">
        <v>1165</v>
      </c>
      <c r="Z18" s="55">
        <v>3792492</v>
      </c>
      <c r="AA18" s="56">
        <v>7.3920818419999996</v>
      </c>
      <c r="AB18" s="56"/>
      <c r="AC18" s="56">
        <v>6.6979659290000004</v>
      </c>
      <c r="AD18" s="56">
        <v>8.0861977550000006</v>
      </c>
    </row>
    <row r="19" spans="1:30" ht="14" x14ac:dyDescent="0.3">
      <c r="A19" s="18">
        <v>44295</v>
      </c>
      <c r="B19" s="19">
        <v>14</v>
      </c>
      <c r="C19" s="35" t="s">
        <v>38</v>
      </c>
      <c r="D19" s="55">
        <v>919</v>
      </c>
      <c r="E19" s="55">
        <v>16960669</v>
      </c>
      <c r="F19" s="56">
        <v>36.553198899999998</v>
      </c>
      <c r="G19" s="56"/>
      <c r="H19" s="56">
        <v>33.992741129999999</v>
      </c>
      <c r="I19" s="56">
        <v>39.113656659999997</v>
      </c>
      <c r="J19" s="20"/>
      <c r="K19" s="55">
        <v>125</v>
      </c>
      <c r="L19" s="55">
        <v>3211115</v>
      </c>
      <c r="M19" s="56">
        <v>35.948213019999997</v>
      </c>
      <c r="N19" s="56"/>
      <c r="O19" s="56">
        <v>27.204603939999998</v>
      </c>
      <c r="P19" s="56">
        <v>44.691822100000003</v>
      </c>
      <c r="Q19" s="20"/>
      <c r="R19" s="55">
        <v>4156</v>
      </c>
      <c r="S19" s="55">
        <v>13722962</v>
      </c>
      <c r="T19" s="56">
        <v>32.4012314</v>
      </c>
      <c r="U19" s="56"/>
      <c r="V19" s="56">
        <v>31.309290659999998</v>
      </c>
      <c r="W19" s="56">
        <v>33.493172139999999</v>
      </c>
      <c r="X19" s="17"/>
      <c r="Y19" s="55">
        <v>1685</v>
      </c>
      <c r="Z19" s="55">
        <v>5434251</v>
      </c>
      <c r="AA19" s="56">
        <v>7.4021978419999996</v>
      </c>
      <c r="AB19" s="56"/>
      <c r="AC19" s="56">
        <v>6.8861600919999999</v>
      </c>
      <c r="AD19" s="56">
        <v>7.9182355920000003</v>
      </c>
    </row>
    <row r="20" spans="1:30" ht="14" x14ac:dyDescent="0.3">
      <c r="A20" s="18">
        <v>44302</v>
      </c>
      <c r="B20" s="19">
        <v>15</v>
      </c>
      <c r="C20" s="35" t="s">
        <v>39</v>
      </c>
      <c r="D20" s="55">
        <v>874</v>
      </c>
      <c r="E20" s="55">
        <v>16544821</v>
      </c>
      <c r="F20" s="56">
        <v>36.557115230000001</v>
      </c>
      <c r="G20" s="56"/>
      <c r="H20" s="56">
        <v>33.921238010000003</v>
      </c>
      <c r="I20" s="56">
        <v>39.192992449999998</v>
      </c>
      <c r="J20" s="17"/>
      <c r="K20" s="55">
        <v>91</v>
      </c>
      <c r="L20" s="55">
        <v>1664254</v>
      </c>
      <c r="M20" s="56">
        <v>45.370718279999998</v>
      </c>
      <c r="N20" s="56"/>
      <c r="O20" s="56">
        <v>34.500775660000002</v>
      </c>
      <c r="P20" s="56">
        <v>58.077048619999999</v>
      </c>
      <c r="Q20" s="20"/>
      <c r="R20" s="55">
        <v>3721</v>
      </c>
      <c r="S20" s="55">
        <v>13828421</v>
      </c>
      <c r="T20" s="56">
        <v>46.00243571</v>
      </c>
      <c r="U20" s="56"/>
      <c r="V20" s="56">
        <v>44.291319469999998</v>
      </c>
      <c r="W20" s="56">
        <v>47.713551950000003</v>
      </c>
      <c r="X20" s="17"/>
      <c r="Y20" s="55">
        <v>2273</v>
      </c>
      <c r="Z20" s="55">
        <v>7284379</v>
      </c>
      <c r="AA20" s="56">
        <v>8.3305758589999996</v>
      </c>
      <c r="AB20" s="56"/>
      <c r="AC20" s="56">
        <v>7.8676927430000001</v>
      </c>
      <c r="AD20" s="56">
        <v>8.7934589760000001</v>
      </c>
    </row>
    <row r="21" spans="1:30" ht="14" x14ac:dyDescent="0.3">
      <c r="A21" s="18">
        <v>44309</v>
      </c>
      <c r="B21" s="19">
        <v>16</v>
      </c>
      <c r="C21" s="35" t="s">
        <v>40</v>
      </c>
      <c r="D21" s="55">
        <v>795</v>
      </c>
      <c r="E21" s="55">
        <v>15927073</v>
      </c>
      <c r="F21" s="56">
        <v>38.249688089999999</v>
      </c>
      <c r="G21" s="56"/>
      <c r="H21" s="56">
        <v>35.353375499999999</v>
      </c>
      <c r="I21" s="56">
        <v>41.14600068</v>
      </c>
      <c r="K21" s="55">
        <v>44</v>
      </c>
      <c r="L21" s="55">
        <v>1078637</v>
      </c>
      <c r="M21" s="56">
        <v>46.695777960000001</v>
      </c>
      <c r="N21" s="56"/>
      <c r="O21" s="56">
        <v>32.958903929999998</v>
      </c>
      <c r="P21" s="56">
        <v>63.90204172</v>
      </c>
      <c r="R21" s="55">
        <v>3280</v>
      </c>
      <c r="S21" s="55">
        <v>13095580</v>
      </c>
      <c r="T21" s="56">
        <v>61.726876230000002</v>
      </c>
      <c r="U21" s="56"/>
      <c r="V21" s="56">
        <v>59.221145</v>
      </c>
      <c r="W21" s="56">
        <v>64.232607470000005</v>
      </c>
      <c r="Y21" s="55">
        <v>2946</v>
      </c>
      <c r="Z21" s="55">
        <v>9213443</v>
      </c>
      <c r="AA21" s="56">
        <v>9.3843569369999997</v>
      </c>
      <c r="AB21" s="56"/>
      <c r="AC21" s="56">
        <v>8.9526860970000008</v>
      </c>
      <c r="AD21" s="56">
        <v>9.8160277770000004</v>
      </c>
    </row>
    <row r="22" spans="1:30" ht="14" x14ac:dyDescent="0.3">
      <c r="A22" s="18">
        <v>44316</v>
      </c>
      <c r="B22" s="19">
        <v>17</v>
      </c>
      <c r="C22" s="35" t="s">
        <v>41</v>
      </c>
      <c r="D22" s="55">
        <v>708</v>
      </c>
      <c r="E22" s="55">
        <v>15509284</v>
      </c>
      <c r="F22" s="56">
        <v>36.787894090000002</v>
      </c>
      <c r="G22" s="56"/>
      <c r="H22" s="56">
        <v>33.83204078</v>
      </c>
      <c r="I22" s="56">
        <v>39.743747409999997</v>
      </c>
      <c r="K22" s="55">
        <v>30</v>
      </c>
      <c r="L22" s="55">
        <v>1231898</v>
      </c>
      <c r="M22" s="56">
        <v>35.442833919999998</v>
      </c>
      <c r="N22" s="56"/>
      <c r="O22" s="56">
        <v>22.597417279999998</v>
      </c>
      <c r="P22" s="56">
        <v>52.326284080000001</v>
      </c>
      <c r="R22" s="55">
        <v>2734</v>
      </c>
      <c r="S22" s="55">
        <v>11699011</v>
      </c>
      <c r="T22" s="56">
        <v>77.638961570000006</v>
      </c>
      <c r="U22" s="56"/>
      <c r="V22" s="56">
        <v>74.202597740000002</v>
      </c>
      <c r="W22" s="56">
        <v>81.075325410000005</v>
      </c>
      <c r="Y22" s="55">
        <v>3394</v>
      </c>
      <c r="Z22" s="55">
        <v>10867328</v>
      </c>
      <c r="AA22" s="56">
        <v>10.30290368</v>
      </c>
      <c r="AB22" s="56"/>
      <c r="AC22" s="56">
        <v>9.8712228510000006</v>
      </c>
      <c r="AD22" s="56">
        <v>10.734584509999999</v>
      </c>
    </row>
    <row r="23" spans="1:30" ht="14" x14ac:dyDescent="0.3">
      <c r="A23" s="18">
        <v>44323</v>
      </c>
      <c r="B23" s="19">
        <v>18</v>
      </c>
      <c r="C23" s="35" t="s">
        <v>42</v>
      </c>
      <c r="D23" s="55">
        <v>603</v>
      </c>
      <c r="E23" s="55">
        <v>15030867</v>
      </c>
      <c r="F23" s="56">
        <v>31.999369990000002</v>
      </c>
      <c r="G23" s="56"/>
      <c r="H23" s="56">
        <v>29.221700609999999</v>
      </c>
      <c r="I23" s="56">
        <v>34.777039360000003</v>
      </c>
      <c r="J23" s="17"/>
      <c r="K23" s="55">
        <v>33</v>
      </c>
      <c r="L23" s="55">
        <v>1347207</v>
      </c>
      <c r="M23" s="56">
        <v>36.991169929999998</v>
      </c>
      <c r="N23" s="56"/>
      <c r="O23" s="56">
        <v>22.039717249999999</v>
      </c>
      <c r="P23" s="56">
        <v>56.390877690000003</v>
      </c>
      <c r="Q23" s="17"/>
      <c r="R23" s="55">
        <v>2266</v>
      </c>
      <c r="S23" s="55">
        <v>10393566</v>
      </c>
      <c r="T23" s="56">
        <v>92.289752410000006</v>
      </c>
      <c r="U23" s="56"/>
      <c r="V23" s="56">
        <v>87.8605254</v>
      </c>
      <c r="W23" s="56">
        <v>96.718979419999997</v>
      </c>
      <c r="X23" s="17"/>
      <c r="Y23" s="55">
        <v>4137</v>
      </c>
      <c r="Z23" s="55">
        <v>12528914</v>
      </c>
      <c r="AA23" s="56">
        <v>11.74925928</v>
      </c>
      <c r="AB23" s="56"/>
      <c r="AC23" s="56">
        <v>11.34248047</v>
      </c>
      <c r="AD23" s="56">
        <v>12.156038089999999</v>
      </c>
    </row>
    <row r="24" spans="1:30" ht="14" x14ac:dyDescent="0.3">
      <c r="A24" s="18">
        <v>44330</v>
      </c>
      <c r="B24" s="19">
        <v>19</v>
      </c>
      <c r="C24" s="35" t="s">
        <v>43</v>
      </c>
      <c r="D24" s="55">
        <v>578</v>
      </c>
      <c r="E24" s="55">
        <v>14401995</v>
      </c>
      <c r="F24" s="56">
        <v>30.950713579999999</v>
      </c>
      <c r="G24" s="56"/>
      <c r="H24" s="56">
        <v>28.211960479999998</v>
      </c>
      <c r="I24" s="56">
        <v>33.689466680000002</v>
      </c>
      <c r="J24" s="17"/>
      <c r="K24" s="55">
        <v>28</v>
      </c>
      <c r="L24" s="55">
        <v>1482892</v>
      </c>
      <c r="M24" s="56">
        <v>48.0571445</v>
      </c>
      <c r="N24" s="56"/>
      <c r="O24" s="56">
        <v>30.529519440000001</v>
      </c>
      <c r="P24" s="56">
        <v>71.319344990000005</v>
      </c>
      <c r="Q24" s="17"/>
      <c r="R24" s="55">
        <v>1830</v>
      </c>
      <c r="S24" s="55">
        <v>9060935</v>
      </c>
      <c r="T24" s="56">
        <v>97.183412559999994</v>
      </c>
      <c r="U24" s="56"/>
      <c r="V24" s="56">
        <v>91.899276540000002</v>
      </c>
      <c r="W24" s="56">
        <v>102.4675486</v>
      </c>
      <c r="X24" s="17"/>
      <c r="Y24" s="55">
        <v>4626</v>
      </c>
      <c r="Z24" s="55">
        <v>14347609</v>
      </c>
      <c r="AA24" s="56">
        <v>12.698867809999999</v>
      </c>
      <c r="AB24" s="56"/>
      <c r="AC24" s="56">
        <v>12.28938091</v>
      </c>
      <c r="AD24" s="56">
        <v>13.10835471</v>
      </c>
    </row>
    <row r="25" spans="1:30" ht="14" x14ac:dyDescent="0.3">
      <c r="A25" s="18">
        <v>44337</v>
      </c>
      <c r="B25" s="19">
        <v>20</v>
      </c>
      <c r="C25" s="35" t="s">
        <v>44</v>
      </c>
      <c r="D25" s="55">
        <v>600</v>
      </c>
      <c r="E25" s="55">
        <v>13574870</v>
      </c>
      <c r="F25" s="56">
        <v>32.672837780000002</v>
      </c>
      <c r="G25" s="56"/>
      <c r="H25" s="56">
        <v>29.833922390000001</v>
      </c>
      <c r="I25" s="56">
        <v>35.511753169999999</v>
      </c>
      <c r="J25" s="17"/>
      <c r="K25" s="55">
        <v>13</v>
      </c>
      <c r="L25" s="55">
        <v>1917779</v>
      </c>
      <c r="M25" s="56">
        <v>18.678727139999999</v>
      </c>
      <c r="N25" s="56" t="s">
        <v>18</v>
      </c>
      <c r="O25" s="56">
        <v>8.6963583549999992</v>
      </c>
      <c r="P25" s="56">
        <v>33.838459589999999</v>
      </c>
      <c r="Q25" s="17"/>
      <c r="R25" s="55">
        <v>1441</v>
      </c>
      <c r="S25" s="55">
        <v>7767800</v>
      </c>
      <c r="T25" s="56">
        <v>97.464962450000002</v>
      </c>
      <c r="U25" s="56"/>
      <c r="V25" s="56">
        <v>91.567998959999997</v>
      </c>
      <c r="W25" s="56">
        <v>103.3619259</v>
      </c>
      <c r="X25" s="17"/>
      <c r="Y25" s="55">
        <v>4946</v>
      </c>
      <c r="Z25" s="55">
        <v>16025854</v>
      </c>
      <c r="AA25" s="56">
        <v>13.343904090000001</v>
      </c>
      <c r="AB25" s="56"/>
      <c r="AC25" s="56">
        <v>12.91927883</v>
      </c>
      <c r="AD25" s="56">
        <v>13.76852935</v>
      </c>
    </row>
    <row r="26" spans="1:30" ht="14" x14ac:dyDescent="0.3">
      <c r="A26" s="18">
        <v>44344</v>
      </c>
      <c r="B26" s="19">
        <v>21</v>
      </c>
      <c r="C26" s="35" t="s">
        <v>45</v>
      </c>
      <c r="D26" s="55">
        <v>475</v>
      </c>
      <c r="E26" s="55">
        <v>12851588</v>
      </c>
      <c r="F26" s="56">
        <v>26.073330930000001</v>
      </c>
      <c r="G26" s="56"/>
      <c r="H26" s="56">
        <v>23.52878041</v>
      </c>
      <c r="I26" s="56">
        <v>28.61788146</v>
      </c>
      <c r="J26" s="17"/>
      <c r="K26" s="55">
        <v>22</v>
      </c>
      <c r="L26" s="55">
        <v>2165004</v>
      </c>
      <c r="M26" s="56">
        <v>27.033407870000001</v>
      </c>
      <c r="N26" s="56"/>
      <c r="O26" s="56">
        <v>14.069182039999999</v>
      </c>
      <c r="P26" s="56">
        <v>44.883831700000002</v>
      </c>
      <c r="Q26" s="17"/>
      <c r="R26" s="55">
        <v>1248</v>
      </c>
      <c r="S26" s="55">
        <v>6225273</v>
      </c>
      <c r="T26" s="56">
        <v>106.81133269999999</v>
      </c>
      <c r="U26" s="56"/>
      <c r="V26" s="56">
        <v>99.912456649999996</v>
      </c>
      <c r="W26" s="56">
        <v>113.7102088</v>
      </c>
      <c r="X26" s="17"/>
      <c r="Y26" s="55">
        <v>5034</v>
      </c>
      <c r="Z26" s="55">
        <v>18037385</v>
      </c>
      <c r="AA26" s="56">
        <v>13.142894160000001</v>
      </c>
      <c r="AB26" s="56"/>
      <c r="AC26" s="56">
        <v>12.75670669</v>
      </c>
      <c r="AD26" s="56">
        <v>13.52908163</v>
      </c>
    </row>
    <row r="27" spans="1:30" ht="14" x14ac:dyDescent="0.3">
      <c r="A27" s="18">
        <v>44351</v>
      </c>
      <c r="B27" s="19">
        <v>22</v>
      </c>
      <c r="C27" s="35" t="s">
        <v>46</v>
      </c>
      <c r="D27" s="55">
        <v>502</v>
      </c>
      <c r="E27" s="55">
        <v>12356247</v>
      </c>
      <c r="F27" s="56">
        <v>28.622988809999999</v>
      </c>
      <c r="G27" s="56"/>
      <c r="H27" s="56">
        <v>25.929672960000001</v>
      </c>
      <c r="I27" s="56">
        <v>31.31630466</v>
      </c>
      <c r="J27" s="17"/>
      <c r="K27" s="55">
        <v>17</v>
      </c>
      <c r="L27" s="55">
        <v>2033912</v>
      </c>
      <c r="M27" s="56">
        <v>28.47817817</v>
      </c>
      <c r="N27" s="56" t="s">
        <v>18</v>
      </c>
      <c r="O27" s="56">
        <v>14.41879028</v>
      </c>
      <c r="P27" s="56">
        <v>48.722268759999999</v>
      </c>
      <c r="Q27" s="17"/>
      <c r="R27" s="55">
        <v>1007</v>
      </c>
      <c r="S27" s="55">
        <v>5306785</v>
      </c>
      <c r="T27" s="56">
        <v>99.978392249999999</v>
      </c>
      <c r="U27" s="56"/>
      <c r="V27" s="56">
        <v>92.954633849999993</v>
      </c>
      <c r="W27" s="56">
        <v>107.00215059999999</v>
      </c>
      <c r="X27" s="17"/>
      <c r="Y27" s="55">
        <v>5325</v>
      </c>
      <c r="Z27" s="55">
        <v>19575469</v>
      </c>
      <c r="AA27" s="56">
        <v>13.6547409</v>
      </c>
      <c r="AB27" s="56"/>
      <c r="AC27" s="56">
        <v>13.25020672</v>
      </c>
      <c r="AD27" s="56">
        <v>14.05927507</v>
      </c>
    </row>
    <row r="28" spans="1:30" ht="14" x14ac:dyDescent="0.3">
      <c r="A28" s="18">
        <v>44358</v>
      </c>
      <c r="B28" s="19">
        <v>23</v>
      </c>
      <c r="C28" s="35" t="s">
        <v>47</v>
      </c>
      <c r="D28" s="55">
        <v>430</v>
      </c>
      <c r="E28" s="55">
        <v>11757509</v>
      </c>
      <c r="F28" s="56">
        <v>25.223856179999999</v>
      </c>
      <c r="G28" s="56"/>
      <c r="H28" s="56">
        <v>22.665249540000001</v>
      </c>
      <c r="I28" s="56">
        <v>27.782462819999999</v>
      </c>
      <c r="J28" s="17"/>
      <c r="K28" s="55">
        <v>14</v>
      </c>
      <c r="L28" s="55">
        <v>1806631</v>
      </c>
      <c r="M28" s="56">
        <v>33.536608809999997</v>
      </c>
      <c r="N28" s="56" t="s">
        <v>18</v>
      </c>
      <c r="O28" s="56">
        <v>11.83437047</v>
      </c>
      <c r="P28" s="56">
        <v>65.989184899999998</v>
      </c>
      <c r="Q28" s="17"/>
      <c r="R28" s="55">
        <v>850</v>
      </c>
      <c r="S28" s="55">
        <v>4641596</v>
      </c>
      <c r="T28" s="56">
        <v>97.975686780000004</v>
      </c>
      <c r="U28" s="56"/>
      <c r="V28" s="56">
        <v>90.590253959999998</v>
      </c>
      <c r="W28" s="56">
        <v>105.36111959999999</v>
      </c>
      <c r="X28" s="17"/>
      <c r="Y28" s="55">
        <v>5408</v>
      </c>
      <c r="Z28" s="55">
        <v>21059770</v>
      </c>
      <c r="AA28" s="56">
        <v>13.70303043</v>
      </c>
      <c r="AB28" s="56"/>
      <c r="AC28" s="56">
        <v>13.313948269999999</v>
      </c>
      <c r="AD28" s="56">
        <v>14.092112589999999</v>
      </c>
    </row>
    <row r="29" spans="1:30" ht="14" x14ac:dyDescent="0.3">
      <c r="A29" s="18">
        <v>44365</v>
      </c>
      <c r="B29" s="19">
        <v>24</v>
      </c>
      <c r="C29" s="35" t="s">
        <v>48</v>
      </c>
      <c r="D29" s="55">
        <v>448</v>
      </c>
      <c r="E29" s="55">
        <v>10970992</v>
      </c>
      <c r="F29" s="56">
        <v>25.78696746</v>
      </c>
      <c r="G29" s="56"/>
      <c r="H29" s="56">
        <v>23.228357519999999</v>
      </c>
      <c r="I29" s="56">
        <v>28.345577410000001</v>
      </c>
      <c r="J29" s="17"/>
      <c r="K29" s="55">
        <v>9</v>
      </c>
      <c r="L29" s="55">
        <v>1870921</v>
      </c>
      <c r="M29" s="56" t="s">
        <v>17</v>
      </c>
      <c r="N29" s="56" t="s">
        <v>17</v>
      </c>
      <c r="O29" s="56" t="s">
        <v>17</v>
      </c>
      <c r="P29" s="56" t="s">
        <v>17</v>
      </c>
      <c r="Q29" s="17"/>
      <c r="R29" s="55">
        <v>697</v>
      </c>
      <c r="S29" s="55">
        <v>4381714</v>
      </c>
      <c r="T29" s="56">
        <v>94.617909049999994</v>
      </c>
      <c r="U29" s="56"/>
      <c r="V29" s="56">
        <v>86.95988672</v>
      </c>
      <c r="W29" s="56">
        <v>102.2759314</v>
      </c>
      <c r="X29" s="17"/>
      <c r="Y29" s="55">
        <v>5510</v>
      </c>
      <c r="Z29" s="55">
        <v>22035117</v>
      </c>
      <c r="AA29" s="56">
        <v>13.6796519</v>
      </c>
      <c r="AB29" s="56"/>
      <c r="AC29" s="56">
        <v>13.308705939999999</v>
      </c>
      <c r="AD29" s="56">
        <v>14.05059786</v>
      </c>
    </row>
    <row r="30" spans="1:30" ht="14" x14ac:dyDescent="0.3">
      <c r="A30" s="18">
        <v>44372</v>
      </c>
      <c r="B30" s="19">
        <v>25</v>
      </c>
      <c r="C30" s="35" t="s">
        <v>49</v>
      </c>
      <c r="D30" s="55">
        <v>434</v>
      </c>
      <c r="E30" s="55">
        <v>10125621</v>
      </c>
      <c r="F30" s="56">
        <v>25.123510710000001</v>
      </c>
      <c r="G30" s="56"/>
      <c r="H30" s="56">
        <v>22.582541200000001</v>
      </c>
      <c r="I30" s="56">
        <v>27.664480220000002</v>
      </c>
      <c r="J30" s="17"/>
      <c r="K30" s="55">
        <v>8</v>
      </c>
      <c r="L30" s="55">
        <v>2221421</v>
      </c>
      <c r="M30" s="56" t="s">
        <v>17</v>
      </c>
      <c r="N30" s="56" t="s">
        <v>17</v>
      </c>
      <c r="O30" s="56" t="s">
        <v>17</v>
      </c>
      <c r="P30" s="56" t="s">
        <v>17</v>
      </c>
      <c r="Q30" s="17"/>
      <c r="R30" s="55">
        <v>634</v>
      </c>
      <c r="S30" s="55">
        <v>4235381</v>
      </c>
      <c r="T30" s="56">
        <v>95.237917929999995</v>
      </c>
      <c r="U30" s="56"/>
      <c r="V30" s="56">
        <v>87.196832369999996</v>
      </c>
      <c r="W30" s="56">
        <v>103.2790035</v>
      </c>
      <c r="X30" s="17"/>
      <c r="Y30" s="55">
        <v>5538</v>
      </c>
      <c r="Z30" s="55">
        <v>22669600</v>
      </c>
      <c r="AA30" s="56">
        <v>13.89092404</v>
      </c>
      <c r="AB30" s="56"/>
      <c r="AC30" s="56">
        <v>13.50104065</v>
      </c>
      <c r="AD30" s="56">
        <v>14.28080744</v>
      </c>
    </row>
    <row r="31" spans="1:30" ht="14" x14ac:dyDescent="0.3">
      <c r="A31" s="21">
        <v>44379</v>
      </c>
      <c r="B31" s="22">
        <v>26</v>
      </c>
      <c r="C31" s="50" t="s">
        <v>50</v>
      </c>
      <c r="D31" s="57">
        <v>401</v>
      </c>
      <c r="E31" s="57">
        <v>9531364</v>
      </c>
      <c r="F31" s="58">
        <v>23.65239437</v>
      </c>
      <c r="G31" s="58"/>
      <c r="H31" s="58">
        <v>21.172909279999999</v>
      </c>
      <c r="I31" s="58">
        <v>26.13187946</v>
      </c>
      <c r="J31" s="23"/>
      <c r="K31" s="57">
        <v>8</v>
      </c>
      <c r="L31" s="57">
        <v>2217764</v>
      </c>
      <c r="M31" s="58" t="s">
        <v>17</v>
      </c>
      <c r="N31" s="58" t="s">
        <v>17</v>
      </c>
      <c r="O31" s="58" t="s">
        <v>17</v>
      </c>
      <c r="P31" s="58" t="s">
        <v>17</v>
      </c>
      <c r="Q31" s="23"/>
      <c r="R31" s="57">
        <v>555</v>
      </c>
      <c r="S31" s="57">
        <v>4186631</v>
      </c>
      <c r="T31" s="58">
        <v>87.225863759999996</v>
      </c>
      <c r="U31" s="58"/>
      <c r="V31" s="58">
        <v>79.376119849999995</v>
      </c>
      <c r="W31" s="58">
        <v>95.075607680000005</v>
      </c>
      <c r="X31" s="23"/>
      <c r="Y31" s="57">
        <v>5881</v>
      </c>
      <c r="Z31" s="57">
        <v>23309568</v>
      </c>
      <c r="AA31" s="58">
        <v>14.57851988</v>
      </c>
      <c r="AB31" s="58"/>
      <c r="AC31" s="58">
        <v>14.19200521</v>
      </c>
      <c r="AD31" s="58">
        <v>14.96503455</v>
      </c>
    </row>
    <row r="32" spans="1:30" ht="13" x14ac:dyDescent="0.3">
      <c r="A32" s="52" t="s">
        <v>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N32" s="3"/>
      <c r="X32" s="24"/>
      <c r="Y32" s="24"/>
    </row>
    <row r="33" spans="1:42" ht="13" x14ac:dyDescent="0.25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V33" s="26"/>
      <c r="W33" s="26"/>
      <c r="X33" s="26"/>
      <c r="Y33" s="26"/>
      <c r="Z33" s="26"/>
      <c r="AA33" s="26"/>
    </row>
    <row r="34" spans="1:42" ht="13" x14ac:dyDescent="0.25">
      <c r="A34" s="26" t="s">
        <v>3</v>
      </c>
      <c r="B34" s="26"/>
      <c r="C34" s="28"/>
      <c r="D34" s="28"/>
      <c r="E34" s="28"/>
      <c r="F34" s="28"/>
      <c r="G34" s="28"/>
      <c r="H34" s="28"/>
      <c r="I34" s="26"/>
      <c r="J34" s="26"/>
      <c r="K34" s="28"/>
      <c r="L34" s="28"/>
      <c r="M34" s="28"/>
      <c r="N34" s="28"/>
      <c r="O34" s="28"/>
      <c r="P34" s="26"/>
      <c r="Q34" s="26"/>
      <c r="R34" s="28"/>
      <c r="S34" s="28"/>
      <c r="T34" s="28"/>
      <c r="U34" s="29"/>
      <c r="V34" s="28"/>
      <c r="W34" s="26"/>
      <c r="X34" s="26"/>
      <c r="Y34" s="26"/>
      <c r="Z34" s="26"/>
      <c r="AA34" s="26"/>
      <c r="AI34" s="5"/>
      <c r="AP34" s="5"/>
    </row>
    <row r="35" spans="1:42" ht="28.5" customHeight="1" x14ac:dyDescent="0.25">
      <c r="A35" s="332" t="s">
        <v>51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59"/>
      <c r="P35" s="60"/>
      <c r="Q35" s="60"/>
      <c r="R35" s="60"/>
      <c r="S35" s="60"/>
      <c r="T35" s="60"/>
      <c r="U35" s="60"/>
      <c r="V35" s="60"/>
      <c r="W35" s="26"/>
      <c r="X35" s="26"/>
      <c r="Y35" s="26"/>
      <c r="Z35" s="26"/>
      <c r="AA35" s="26"/>
    </row>
    <row r="36" spans="1:42" ht="37.5" customHeight="1" x14ac:dyDescent="0.25">
      <c r="A36" s="333" t="s">
        <v>19</v>
      </c>
      <c r="B36" s="333"/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26"/>
      <c r="P36" s="26"/>
      <c r="Q36" s="26"/>
      <c r="R36" s="26"/>
      <c r="S36" s="26"/>
      <c r="T36" s="26"/>
      <c r="U36" s="27"/>
      <c r="V36" s="26"/>
      <c r="W36" s="26"/>
      <c r="X36" s="26"/>
      <c r="Y36" s="26"/>
      <c r="Z36" s="26"/>
      <c r="AA36" s="26"/>
    </row>
    <row r="37" spans="1:42" ht="26.5" customHeight="1" x14ac:dyDescent="0.25">
      <c r="A37" s="333" t="s">
        <v>20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26"/>
      <c r="P37" s="26"/>
      <c r="Q37" s="26"/>
      <c r="R37" s="26"/>
      <c r="S37" s="26"/>
      <c r="T37" s="26"/>
      <c r="U37" s="27"/>
      <c r="V37" s="26"/>
      <c r="W37" s="26"/>
      <c r="X37" s="26"/>
      <c r="Y37" s="26"/>
      <c r="Z37" s="26"/>
      <c r="AA37" s="26"/>
      <c r="AB37" s="44"/>
      <c r="AC37" s="44"/>
    </row>
    <row r="38" spans="1:42" ht="39" customHeight="1" x14ac:dyDescent="0.25">
      <c r="A38" s="333" t="s">
        <v>21</v>
      </c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26"/>
      <c r="P38" s="26"/>
      <c r="Q38" s="26"/>
      <c r="R38" s="26"/>
      <c r="S38" s="26"/>
      <c r="T38" s="26"/>
      <c r="U38" s="27"/>
      <c r="V38" s="26"/>
      <c r="W38" s="26"/>
      <c r="X38" s="26"/>
      <c r="Y38" s="26"/>
      <c r="Z38" s="26"/>
      <c r="AA38" s="26"/>
    </row>
    <row r="39" spans="1:42" ht="14.5" customHeight="1" x14ac:dyDescent="0.3">
      <c r="A39" s="334" t="s">
        <v>22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26"/>
      <c r="P39" s="26"/>
      <c r="Q39" s="26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"/>
      <c r="AC39" s="2"/>
    </row>
    <row r="40" spans="1:42" ht="17.149999999999999" customHeight="1" x14ac:dyDescent="0.25">
      <c r="A40" s="330" t="s">
        <v>23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26"/>
      <c r="P40" s="26"/>
      <c r="Q40" s="26"/>
      <c r="R40" s="27"/>
      <c r="S40" s="27"/>
      <c r="T40" s="27"/>
      <c r="U40" s="27"/>
      <c r="V40" s="26"/>
      <c r="W40" s="26"/>
      <c r="X40" s="26"/>
      <c r="Y40" s="26"/>
      <c r="Z40" s="26"/>
      <c r="AA40" s="26"/>
    </row>
    <row r="41" spans="1:42" ht="16" customHeight="1" x14ac:dyDescent="0.25">
      <c r="A41" s="324" t="s">
        <v>24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42" ht="27.65" customHeight="1" x14ac:dyDescent="0.25">
      <c r="A42" s="325" t="s">
        <v>52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1"/>
      <c r="P42" s="31"/>
      <c r="Q42" s="31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51"/>
      <c r="AC42" s="51"/>
    </row>
    <row r="43" spans="1:42" ht="12.6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42" x14ac:dyDescent="0.25">
      <c r="A44" s="326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</row>
    <row r="45" spans="1:42" x14ac:dyDescent="0.25">
      <c r="A45" s="327"/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</row>
    <row r="46" spans="1:42" x14ac:dyDescent="0.25">
      <c r="G46" s="3"/>
      <c r="N46" s="3"/>
      <c r="U46" s="3"/>
    </row>
    <row r="47" spans="1:42" x14ac:dyDescent="0.25">
      <c r="G47" s="3"/>
      <c r="N47" s="3"/>
      <c r="U47" s="3"/>
    </row>
    <row r="48" spans="1:42" x14ac:dyDescent="0.25">
      <c r="G48" s="3"/>
      <c r="N48" s="3"/>
      <c r="U48" s="3"/>
    </row>
    <row r="49" spans="2:28" x14ac:dyDescent="0.25">
      <c r="G49" s="3"/>
      <c r="N49" s="3"/>
      <c r="U49" s="3"/>
    </row>
    <row r="50" spans="2:28" x14ac:dyDescent="0.25">
      <c r="B50" s="39"/>
      <c r="C50" s="39"/>
      <c r="D50" s="36"/>
      <c r="E50" s="37"/>
      <c r="F50" s="37"/>
      <c r="G50" s="37"/>
      <c r="H50" s="37"/>
      <c r="I50" s="38"/>
      <c r="J50" s="39"/>
      <c r="K50" s="3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2:28" x14ac:dyDescent="0.25">
      <c r="G51" s="3"/>
      <c r="N51" s="3"/>
      <c r="U51" s="3"/>
    </row>
    <row r="52" spans="2:28" x14ac:dyDescent="0.25">
      <c r="G52" s="3"/>
      <c r="N52" s="3"/>
      <c r="U52" s="3"/>
    </row>
    <row r="53" spans="2:28" x14ac:dyDescent="0.25">
      <c r="G53" s="3"/>
      <c r="N53" s="3"/>
      <c r="U53" s="3"/>
    </row>
    <row r="54" spans="2:28" x14ac:dyDescent="0.25">
      <c r="G54" s="3"/>
      <c r="N54" s="3"/>
      <c r="U54" s="3"/>
    </row>
    <row r="55" spans="2:28" x14ac:dyDescent="0.25">
      <c r="G55" s="3"/>
      <c r="N55" s="3"/>
      <c r="U55" s="3"/>
    </row>
  </sheetData>
  <mergeCells count="14">
    <mergeCell ref="D4:I4"/>
    <mergeCell ref="K4:P4"/>
    <mergeCell ref="R4:W4"/>
    <mergeCell ref="Y4:AD4"/>
    <mergeCell ref="A35:N35"/>
    <mergeCell ref="A42:N42"/>
    <mergeCell ref="A44:AA44"/>
    <mergeCell ref="A45:AA45"/>
    <mergeCell ref="A36:N36"/>
    <mergeCell ref="A37:N37"/>
    <mergeCell ref="A38:N38"/>
    <mergeCell ref="A39:N39"/>
    <mergeCell ref="A40:N40"/>
    <mergeCell ref="A41:O41"/>
  </mergeCells>
  <hyperlinks>
    <hyperlink ref="AC43" r:id="rId1" display="8. These figures represent death occurrences, there can be a delay between the date a death occurred and the date a death was registered. More information can be found in our impact of registration delays release. " xr:uid="{8D6AA762-1A7B-435B-851A-724C133E0725}"/>
    <hyperlink ref="A1" location="Contents!A1" display="Contents" xr:uid="{9211C12E-ED93-45B9-A7E5-9796C5C2F56C}"/>
    <hyperlink ref="A43:AB43" r:id="rId2" display="8. These figures represent death occurrences, there can be a delay between the date a death occurred and the date a death was registered. More information can be found in our impact of registration delays release. " xr:uid="{7B0AEA7D-5605-492F-A63F-908B3F5684DD}"/>
    <hyperlink ref="A35:N35" r:id="rId3" display="1. Age-standardised mortality rates per 100,000 people, standardised to the 2013 European Standard Population using 5-year age groups form age 10 and over. For more information, see our methodology article." xr:uid="{26463FF7-A045-491A-839D-D6B21D25CC11}"/>
    <hyperlink ref="A42:N42" r:id="rId4" display="8. These figures represent death occurrences, there can be a delay between the date a death occurred and the date a death was registered. More information can be found in our impact of registration delays release. " xr:uid="{8FA38F7D-D880-4859-8932-26B40F99A5C4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2985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E21B74-1E9C-486A-81A8-BCA2213EBF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EE3554-4858-48BE-9848-4A6E8FEB4247}">
  <ds:schemaRefs>
    <ds:schemaRef ds:uri="53668f8d-1e49-450c-b720-df1fd2d62487"/>
    <ds:schemaRef ds:uri="http://purl.org/dc/dcmitype/"/>
    <ds:schemaRef ds:uri="http://schemas.microsoft.com/office/infopath/2007/PartnerControls"/>
    <ds:schemaRef ds:uri="e8a6bece-b7bb-4c6f-af9f-092ff5f9e746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e73541d3-5dbc-467b-ad85-92b29e93bc53"/>
    <ds:schemaRef ds:uri="2541d45d-41ad-4814-bf67-1422fc7ee58e"/>
  </ds:schemaRefs>
</ds:datastoreItem>
</file>

<file path=customXml/itemProps3.xml><?xml version="1.0" encoding="utf-8"?>
<ds:datastoreItem xmlns:ds="http://schemas.openxmlformats.org/officeDocument/2006/customXml" ds:itemID="{8B4D49AF-90E1-4449-B133-40FF2918B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All Cause ASMR Mortality Charts</vt:lpstr>
      <vt:lpstr>All Cause Raw Mortality Charts</vt:lpstr>
      <vt:lpstr>Population vaccinated</vt:lpstr>
      <vt:lpstr>Death counts</vt:lpstr>
      <vt:lpstr>Mortality</vt:lpstr>
      <vt:lpstr>Aggregated ONS Table 4 and 5</vt:lpstr>
      <vt:lpstr>All Cause Joint Table</vt:lpstr>
      <vt:lpstr>ONS Table 4</vt:lpstr>
      <vt:lpstr>ONS Table 5</vt:lpstr>
      <vt:lpstr>ONS Week 26 deaths</vt:lpstr>
      <vt:lpstr>NIMS Week 26 vaccines</vt:lpstr>
      <vt:lpstr>ONS Week 26 vaccinated query</vt:lpstr>
      <vt:lpstr>ONS Life Tables 2017-19</vt:lpstr>
      <vt:lpstr>ONS Population Estimates 2021</vt:lpstr>
      <vt:lpstr>ONS Mortality Week 26 2017-2021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Nafilyan, Vahe</dc:creator>
  <cp:keywords/>
  <dc:description/>
  <cp:lastModifiedBy>Norman Fenton</cp:lastModifiedBy>
  <cp:revision/>
  <dcterms:created xsi:type="dcterms:W3CDTF">2021-07-16T12:33:25Z</dcterms:created>
  <dcterms:modified xsi:type="dcterms:W3CDTF">2021-10-10T11:45:32Z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Retention Type">
    <vt:lpwstr>Notify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Retention">
    <vt:r8>0</vt:r8>
  </property>
  <property fmtid="{D5CDD505-2E9C-101B-9397-08002B2CF9AE}" pid="9" name="_ExtendedDescription">
    <vt:lpwstr/>
  </property>
  <property fmtid="{D5CDD505-2E9C-101B-9397-08002B2CF9AE}" pid="10" name="Order">
    <vt:r8>3134800</vt:r8>
  </property>
</Properties>
</file>